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1 YE Source Docs/"/>
    </mc:Choice>
  </mc:AlternateContent>
  <xr:revisionPtr revIDLastSave="266" documentId="13_ncr:1_{9F59612A-2C4F-41CC-B2A8-5759F91484B5}" xr6:coauthVersionLast="46" xr6:coauthVersionMax="47" xr10:uidLastSave="{04A43DB9-4E42-41F1-94E8-423A0BE97804}"/>
  <workbookProtection workbookAlgorithmName="SHA-512" workbookHashValue="aBg0s8lRBZtHCpa6yBKGHN5ByjgKNXpa0IPPU/6q8Tayeudxzporgv/84OygxoF4Zpn0UxMAWBji9BbBB6gKMQ==" workbookSaltValue="eA3vmiVGshyAsVn54XYbjw=="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definedNames>
    <definedName name="_xlnm.Print_Area" localSheetId="1">'PROGRAM BUDGET &amp; FISCAL REPORT'!$F$2:$S$127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36" i="19" l="1"/>
  <c r="P36" i="19"/>
  <c r="O36" i="19"/>
  <c r="M36" i="19"/>
  <c r="L36" i="19"/>
  <c r="S34" i="19"/>
  <c r="P34" i="19"/>
  <c r="O34" i="19"/>
  <c r="M34" i="19"/>
  <c r="L34" i="19"/>
  <c r="S29" i="19"/>
  <c r="P29" i="19"/>
  <c r="P38" i="19" s="1"/>
  <c r="O29" i="19"/>
  <c r="M29" i="19"/>
  <c r="M38" i="19" s="1"/>
  <c r="L29" i="19"/>
  <c r="L38" i="19" s="1"/>
  <c r="J30" i="19"/>
  <c r="J31" i="19"/>
  <c r="J32" i="19"/>
  <c r="J33" i="19"/>
  <c r="K34" i="19" s="1"/>
  <c r="J35" i="19"/>
  <c r="K36" i="19" s="1"/>
  <c r="J28" i="19"/>
  <c r="K29" i="19" s="1"/>
  <c r="P43" i="19"/>
  <c r="P93" i="19"/>
  <c r="P31" i="19"/>
  <c r="M101" i="19"/>
  <c r="L101" i="19"/>
  <c r="L93" i="19"/>
  <c r="M93" i="19"/>
  <c r="S38" i="19" l="1"/>
  <c r="O38" i="19"/>
  <c r="K38" i="19"/>
  <c r="O118" i="19"/>
  <c r="O43" i="19"/>
  <c r="O31" i="19"/>
  <c r="Q101" i="19" l="1"/>
  <c r="R101" i="19" s="1"/>
  <c r="N101" i="19"/>
  <c r="B101" i="19"/>
  <c r="A101" i="19"/>
  <c r="S95" i="19" l="1"/>
  <c r="L47" i="26" l="1"/>
  <c r="K47" i="26"/>
  <c r="J47" i="26"/>
  <c r="C8" i="14"/>
  <c r="C7" i="14"/>
  <c r="S112" i="19"/>
  <c r="S17" i="19" s="1"/>
  <c r="P112" i="19"/>
  <c r="P17" i="19" s="1"/>
  <c r="O112" i="19"/>
  <c r="O17" i="19" s="1"/>
  <c r="M112" i="19"/>
  <c r="L112" i="19"/>
  <c r="L17" i="19" s="1"/>
  <c r="Q111" i="19"/>
  <c r="R111" i="19" s="1"/>
  <c r="N111" i="19"/>
  <c r="B111" i="19"/>
  <c r="A111" i="19"/>
  <c r="M17" i="19"/>
  <c r="M45" i="19"/>
  <c r="M8" i="19" s="1"/>
  <c r="L45" i="19"/>
  <c r="L8" i="19" s="1"/>
  <c r="M7" i="19"/>
  <c r="L7" i="19"/>
  <c r="B100" i="19"/>
  <c r="A100" i="19"/>
  <c r="B94" i="19"/>
  <c r="A94" i="19"/>
  <c r="B93" i="19"/>
  <c r="A93" i="19"/>
  <c r="B87" i="19"/>
  <c r="A87" i="19"/>
  <c r="B80" i="19"/>
  <c r="A80" i="19"/>
  <c r="B73" i="19"/>
  <c r="A73" i="19"/>
  <c r="B72" i="19"/>
  <c r="A72" i="19"/>
  <c r="B66" i="19"/>
  <c r="A66" i="19"/>
  <c r="B59" i="19"/>
  <c r="A59" i="19"/>
  <c r="B52" i="19"/>
  <c r="A52" i="19"/>
  <c r="B44" i="19"/>
  <c r="A44" i="19"/>
  <c r="B43" i="19"/>
  <c r="A43" i="19"/>
  <c r="P60" i="19"/>
  <c r="P10" i="19" s="1"/>
  <c r="M74" i="19"/>
  <c r="M12" i="19" s="1"/>
  <c r="O74" i="19"/>
  <c r="O12" i="19" s="1"/>
  <c r="P74" i="19"/>
  <c r="P12" i="19" s="1"/>
  <c r="S74" i="19"/>
  <c r="S12" i="19" s="1"/>
  <c r="L74" i="19"/>
  <c r="L12" i="19" s="1"/>
  <c r="E7" i="14"/>
  <c r="N102" i="19"/>
  <c r="N100" i="19"/>
  <c r="N94" i="19"/>
  <c r="N93" i="19"/>
  <c r="N87" i="19"/>
  <c r="N86" i="19"/>
  <c r="N80" i="19"/>
  <c r="N79" i="19"/>
  <c r="N73" i="19"/>
  <c r="N72" i="19"/>
  <c r="N66" i="19"/>
  <c r="N65" i="19"/>
  <c r="N59" i="19"/>
  <c r="N58" i="19"/>
  <c r="Q102" i="19"/>
  <c r="R102" i="19" s="1"/>
  <c r="Q94" i="19"/>
  <c r="R94" i="19" s="1"/>
  <c r="Q80" i="19"/>
  <c r="R80" i="19" s="1"/>
  <c r="Q73" i="19"/>
  <c r="R73" i="19" s="1"/>
  <c r="Q72" i="19"/>
  <c r="R72" i="19" s="1"/>
  <c r="Q66" i="19"/>
  <c r="R66" i="19" s="1"/>
  <c r="N52" i="19"/>
  <c r="Q52" i="19"/>
  <c r="R52" i="19" s="1"/>
  <c r="N44" i="19"/>
  <c r="Q44" i="19"/>
  <c r="N28" i="19"/>
  <c r="N29" i="19" s="1"/>
  <c r="E8" i="14"/>
  <c r="B46" i="26"/>
  <c r="B45" i="26"/>
  <c r="B44" i="26"/>
  <c r="B43" i="26"/>
  <c r="B42" i="26"/>
  <c r="B41" i="26"/>
  <c r="B40" i="26"/>
  <c r="B39" i="26"/>
  <c r="B38" i="26"/>
  <c r="B37" i="26"/>
  <c r="B36" i="26"/>
  <c r="B31" i="26"/>
  <c r="B30" i="26"/>
  <c r="B29" i="26"/>
  <c r="B28" i="26"/>
  <c r="B27" i="26"/>
  <c r="B26" i="26"/>
  <c r="E119" i="19"/>
  <c r="E120" i="19"/>
  <c r="E121" i="19"/>
  <c r="E122" i="19"/>
  <c r="E123" i="19"/>
  <c r="E118" i="19"/>
  <c r="N37" i="19"/>
  <c r="N33" i="19"/>
  <c r="N32" i="19"/>
  <c r="N31" i="19"/>
  <c r="N35" i="19"/>
  <c r="N36" i="19" s="1"/>
  <c r="N30" i="19"/>
  <c r="N43" i="19"/>
  <c r="L88" i="19"/>
  <c r="L14" i="19" s="1"/>
  <c r="Q79" i="19"/>
  <c r="R79" i="19" s="1"/>
  <c r="P67" i="19"/>
  <c r="P11" i="19" s="1"/>
  <c r="Q59" i="19"/>
  <c r="R59" i="19" s="1"/>
  <c r="Q58" i="19"/>
  <c r="R58" i="19" s="1"/>
  <c r="O60" i="19"/>
  <c r="O10" i="19" s="1"/>
  <c r="Q37" i="19"/>
  <c r="R37" i="19" s="1"/>
  <c r="Q33" i="19"/>
  <c r="R33" i="19" s="1"/>
  <c r="L60" i="19"/>
  <c r="L10" i="19" s="1"/>
  <c r="M60" i="19"/>
  <c r="M10" i="19" s="1"/>
  <c r="A33" i="19"/>
  <c r="B33" i="19"/>
  <c r="A37" i="19"/>
  <c r="B37" i="19"/>
  <c r="S7" i="19"/>
  <c r="S45" i="19"/>
  <c r="S8" i="19" s="1"/>
  <c r="S53" i="19"/>
  <c r="S9" i="19" s="1"/>
  <c r="S60" i="19"/>
  <c r="S10" i="19" s="1"/>
  <c r="S67" i="19"/>
  <c r="S11" i="19" s="1"/>
  <c r="S81" i="19"/>
  <c r="S13" i="19" s="1"/>
  <c r="S88" i="19"/>
  <c r="S14" i="19" s="1"/>
  <c r="O95" i="19"/>
  <c r="O15" i="19" s="1"/>
  <c r="P95" i="19"/>
  <c r="P15" i="19" s="1"/>
  <c r="S103" i="19"/>
  <c r="S16" i="19" s="1"/>
  <c r="Q28" i="19"/>
  <c r="Q30" i="19"/>
  <c r="Q35" i="19"/>
  <c r="Q31" i="19"/>
  <c r="R31" i="19" s="1"/>
  <c r="Q32" i="19"/>
  <c r="R32" i="19" s="1"/>
  <c r="Q43" i="19"/>
  <c r="R43" i="19" s="1"/>
  <c r="O7" i="19"/>
  <c r="I47" i="26"/>
  <c r="H47" i="26"/>
  <c r="G47" i="26"/>
  <c r="A46" i="26"/>
  <c r="A45" i="26"/>
  <c r="A44" i="26"/>
  <c r="A43" i="26"/>
  <c r="A42" i="26"/>
  <c r="A41" i="26"/>
  <c r="A40" i="26"/>
  <c r="A39" i="26"/>
  <c r="A38" i="26"/>
  <c r="A37" i="26"/>
  <c r="A36" i="26"/>
  <c r="I32" i="26"/>
  <c r="H32" i="26"/>
  <c r="G32" i="26"/>
  <c r="A31" i="26"/>
  <c r="A30" i="26"/>
  <c r="A29" i="26"/>
  <c r="A28" i="26"/>
  <c r="A27" i="26"/>
  <c r="A26" i="26"/>
  <c r="I23" i="26"/>
  <c r="H23" i="26"/>
  <c r="G23" i="26"/>
  <c r="B22" i="26"/>
  <c r="A22" i="26"/>
  <c r="B21" i="26"/>
  <c r="A21" i="26"/>
  <c r="B20" i="26"/>
  <c r="A20" i="26"/>
  <c r="B19" i="26"/>
  <c r="A19" i="26"/>
  <c r="B18" i="26"/>
  <c r="A18" i="26"/>
  <c r="B17" i="26"/>
  <c r="A17" i="26"/>
  <c r="B16" i="26"/>
  <c r="A16" i="26"/>
  <c r="B13" i="26"/>
  <c r="A13" i="26"/>
  <c r="B12" i="26"/>
  <c r="A12" i="26"/>
  <c r="B11" i="26"/>
  <c r="A11" i="26"/>
  <c r="B10" i="26"/>
  <c r="A10" i="26"/>
  <c r="B9" i="26"/>
  <c r="A9" i="26"/>
  <c r="B8" i="26"/>
  <c r="A8" i="26"/>
  <c r="B7" i="26"/>
  <c r="A7" i="26"/>
  <c r="B6" i="26"/>
  <c r="A6" i="26"/>
  <c r="Q122" i="19"/>
  <c r="Q121" i="19"/>
  <c r="Q120" i="19"/>
  <c r="Q119" i="19"/>
  <c r="Q118" i="19"/>
  <c r="M67" i="19"/>
  <c r="M11" i="19" s="1"/>
  <c r="C3" i="14"/>
  <c r="C4" i="14"/>
  <c r="B4" i="14"/>
  <c r="B3" i="14"/>
  <c r="B123" i="19"/>
  <c r="A123" i="19"/>
  <c r="B122" i="19"/>
  <c r="A122" i="19"/>
  <c r="B121" i="19"/>
  <c r="A121" i="19"/>
  <c r="B120" i="19"/>
  <c r="A120" i="19"/>
  <c r="B119" i="19"/>
  <c r="A119" i="19"/>
  <c r="B118" i="19"/>
  <c r="A118" i="19"/>
  <c r="P124" i="19"/>
  <c r="N124" i="19"/>
  <c r="B86" i="19"/>
  <c r="A86" i="19"/>
  <c r="B32" i="19"/>
  <c r="A32" i="19"/>
  <c r="B31" i="19"/>
  <c r="A31" i="19"/>
  <c r="B35" i="19"/>
  <c r="A35" i="19"/>
  <c r="B30" i="19"/>
  <c r="A30" i="19"/>
  <c r="B79" i="19"/>
  <c r="A79" i="19"/>
  <c r="B65" i="19"/>
  <c r="A65" i="19"/>
  <c r="B58" i="19"/>
  <c r="A58" i="19"/>
  <c r="B51" i="19"/>
  <c r="A51" i="19"/>
  <c r="B42" i="19"/>
  <c r="A42" i="19"/>
  <c r="B28" i="19"/>
  <c r="A28" i="19"/>
  <c r="L53" i="19"/>
  <c r="L9" i="19" s="1"/>
  <c r="L81" i="19"/>
  <c r="L13" i="19" s="1"/>
  <c r="L95" i="19"/>
  <c r="L15" i="19" s="1"/>
  <c r="L103" i="19"/>
  <c r="L16" i="19" s="1"/>
  <c r="M53" i="19"/>
  <c r="M9" i="19" s="1"/>
  <c r="M81" i="19"/>
  <c r="M13" i="19" s="1"/>
  <c r="M88" i="19"/>
  <c r="M14" i="19" s="1"/>
  <c r="M95" i="19"/>
  <c r="M15" i="19" s="1"/>
  <c r="M103" i="19"/>
  <c r="M16" i="19" s="1"/>
  <c r="Q51" i="19"/>
  <c r="R51" i="19" s="1"/>
  <c r="N110" i="19"/>
  <c r="N51" i="19"/>
  <c r="Q87" i="19"/>
  <c r="R87" i="19" s="1"/>
  <c r="Q110" i="19"/>
  <c r="R110" i="19" s="1"/>
  <c r="B110" i="19"/>
  <c r="A110" i="19"/>
  <c r="P103" i="19"/>
  <c r="P16" i="19" s="1"/>
  <c r="O103" i="19"/>
  <c r="O16" i="19" s="1"/>
  <c r="Q100" i="19"/>
  <c r="R100" i="19" s="1"/>
  <c r="B102" i="19"/>
  <c r="A102" i="19"/>
  <c r="Q93" i="19"/>
  <c r="R93" i="19" s="1"/>
  <c r="Q86" i="19"/>
  <c r="R86" i="19" s="1"/>
  <c r="P88" i="19"/>
  <c r="P14" i="19" s="1"/>
  <c r="O88" i="19"/>
  <c r="O14" i="19" s="1"/>
  <c r="P81" i="19"/>
  <c r="P13" i="19" s="1"/>
  <c r="O81" i="19"/>
  <c r="O13" i="19" s="1"/>
  <c r="O67" i="19"/>
  <c r="O11" i="19" s="1"/>
  <c r="Q65" i="19"/>
  <c r="R65" i="19" s="1"/>
  <c r="P53" i="19"/>
  <c r="P9" i="19" s="1"/>
  <c r="O53" i="19"/>
  <c r="O9" i="19" s="1"/>
  <c r="P45" i="19"/>
  <c r="P8" i="19" s="1"/>
  <c r="O45" i="19"/>
  <c r="O8" i="19" s="1"/>
  <c r="P7" i="19"/>
  <c r="B17" i="19"/>
  <c r="A17" i="19"/>
  <c r="B16" i="19"/>
  <c r="A16" i="19"/>
  <c r="B15" i="19"/>
  <c r="A15" i="19"/>
  <c r="B14" i="19"/>
  <c r="A14" i="19"/>
  <c r="B13" i="19"/>
  <c r="A13" i="19"/>
  <c r="B12" i="19"/>
  <c r="A12" i="19"/>
  <c r="B11" i="19"/>
  <c r="A11" i="19"/>
  <c r="B10" i="19"/>
  <c r="A10" i="19"/>
  <c r="B9" i="19"/>
  <c r="A9" i="19"/>
  <c r="B8" i="19"/>
  <c r="A8" i="19"/>
  <c r="B7" i="19"/>
  <c r="A7" i="19"/>
  <c r="B6" i="19"/>
  <c r="A6" i="19"/>
  <c r="L67" i="19"/>
  <c r="L11" i="19" s="1"/>
  <c r="R35" i="19" l="1"/>
  <c r="Q36" i="19"/>
  <c r="R36" i="19" s="1"/>
  <c r="R30" i="19"/>
  <c r="Q34" i="19"/>
  <c r="R34" i="19" s="1"/>
  <c r="N34" i="19"/>
  <c r="N38" i="19" s="1"/>
  <c r="R28" i="19"/>
  <c r="Q29" i="19"/>
  <c r="E9" i="14"/>
  <c r="C9" i="14"/>
  <c r="N112" i="19"/>
  <c r="N10" i="19"/>
  <c r="N12" i="19"/>
  <c r="N9" i="19"/>
  <c r="N67" i="19"/>
  <c r="N17" i="19"/>
  <c r="N15" i="19"/>
  <c r="N74" i="19"/>
  <c r="N81" i="19"/>
  <c r="N88" i="19"/>
  <c r="N95" i="19"/>
  <c r="N11" i="19"/>
  <c r="N8" i="19"/>
  <c r="N14" i="19"/>
  <c r="N16" i="19"/>
  <c r="Q67" i="19"/>
  <c r="Q11" i="19" s="1"/>
  <c r="R11" i="19" s="1"/>
  <c r="L114" i="19"/>
  <c r="O114" i="19"/>
  <c r="N13" i="19"/>
  <c r="O18" i="19"/>
  <c r="N7" i="19"/>
  <c r="L18" i="19"/>
  <c r="P18" i="19"/>
  <c r="M18" i="19"/>
  <c r="D12" i="14" s="1"/>
  <c r="C16" i="14" s="1"/>
  <c r="N53" i="19"/>
  <c r="N45" i="19"/>
  <c r="Q60" i="19"/>
  <c r="R60" i="19" s="1"/>
  <c r="N60" i="19"/>
  <c r="Q45" i="19"/>
  <c r="R45" i="19" s="1"/>
  <c r="N103" i="19"/>
  <c r="M114" i="19"/>
  <c r="K111" i="19" s="1"/>
  <c r="P114" i="19"/>
  <c r="Q88" i="19"/>
  <c r="R88" i="19" s="1"/>
  <c r="Q112" i="19"/>
  <c r="Q53" i="19"/>
  <c r="R53" i="19" s="1"/>
  <c r="Q74" i="19"/>
  <c r="R74" i="19" s="1"/>
  <c r="Q81" i="19"/>
  <c r="Q13" i="19" s="1"/>
  <c r="R13" i="19" s="1"/>
  <c r="Q95" i="19"/>
  <c r="Q15" i="19" s="1"/>
  <c r="R15" i="19" s="1"/>
  <c r="Q103" i="19"/>
  <c r="R103" i="19" s="1"/>
  <c r="R44" i="19"/>
  <c r="Q38" i="19" l="1"/>
  <c r="Q7" i="19" s="1"/>
  <c r="R29" i="19"/>
  <c r="Q12" i="19"/>
  <c r="R12" i="19" s="1"/>
  <c r="R81" i="19"/>
  <c r="C12" i="14"/>
  <c r="C15" i="14" s="1"/>
  <c r="C18" i="14" s="1"/>
  <c r="D18" i="14" s="1"/>
  <c r="G50" i="26"/>
  <c r="Q14" i="19"/>
  <c r="R14" i="19" s="1"/>
  <c r="Q114" i="19"/>
  <c r="R114" i="19" s="1"/>
  <c r="Q8" i="19"/>
  <c r="R8" i="19" s="1"/>
  <c r="R67" i="19"/>
  <c r="R38" i="19"/>
  <c r="R95" i="19"/>
  <c r="Q9" i="19"/>
  <c r="R9" i="19" s="1"/>
  <c r="N114" i="19"/>
  <c r="N18" i="19"/>
  <c r="S15" i="19"/>
  <c r="S18" i="19" s="1"/>
  <c r="S114" i="19"/>
  <c r="Q10" i="19"/>
  <c r="R10" i="19" s="1"/>
  <c r="R112" i="19"/>
  <c r="Q17" i="19"/>
  <c r="R17" i="19" s="1"/>
  <c r="Q16" i="19"/>
  <c r="R16" i="19" s="1"/>
  <c r="R7" i="19"/>
  <c r="D15" i="14" l="1"/>
  <c r="D16" i="14"/>
  <c r="E12" i="14"/>
  <c r="E15" i="14" s="1"/>
  <c r="F15" i="14" s="1"/>
  <c r="H50" i="26"/>
  <c r="Q18" i="19"/>
  <c r="R18" i="19" s="1"/>
  <c r="Q123" i="19" l="1"/>
  <c r="Q124" i="19" s="1"/>
  <c r="O124" i="19"/>
  <c r="G16" i="19"/>
  <c r="F12" i="14"/>
  <c r="E16" i="14" s="1"/>
  <c r="F16" i="14" s="1"/>
  <c r="E18" i="14" l="1"/>
  <c r="F18" i="14" s="1"/>
  <c r="R124" i="19" l="1"/>
  <c r="S12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tc={65318BC8-EF84-4860-829F-A4F4F04DD360}</author>
    <author>tc={835A166D-FADD-424B-9011-A828AEB310B8}</author>
    <author>tc={357B4A2F-D23A-44F8-80A6-A4B28B5A7BE3}</author>
    <author>tc={CDC4AC23-70BB-4738-867C-E061E42303DA}</author>
  </authors>
  <commentList>
    <comment ref="H9" authorId="0" shapeId="0" xr:uid="{65318BC8-EF84-4860-829F-A4F4F04DD360}">
      <text>
        <t>[Threaded comment]
Your version of Excel allows you to read this threaded comment; however, any edits to it will get removed if the file is opened in a newer version of Excel. Learn more: https://go.microsoft.com/fwlink/?linkid=870924
Comment:
    Data will be collected during year end Spring survey</t>
      </text>
    </comment>
    <comment ref="H13" authorId="1" shapeId="0" xr:uid="{835A166D-FADD-424B-9011-A828AEB310B8}">
      <text>
        <t>[Threaded comment]
Your version of Excel allows you to read this threaded comment; however, any edits to it will get removed if the file is opened in a newer version of Excel. Learn more: https://go.microsoft.com/fwlink/?linkid=870924
Comment:
    Data will be collected during year end Spring survey</t>
      </text>
    </comment>
    <comment ref="I39" authorId="2" shapeId="0" xr:uid="{357B4A2F-D23A-44F8-80A6-A4B28B5A7BE3}">
      <text>
        <t>[Threaded comment]
Your version of Excel allows you to read this threaded comment; however, any edits to it will get removed if the file is opened in a newer version of Excel. Learn more: https://go.microsoft.com/fwlink/?linkid=870924
Comment:
    Gender Unknown/Prefer Not to State</t>
      </text>
    </comment>
    <comment ref="L39" authorId="3" shapeId="0" xr:uid="{CDC4AC23-70BB-4738-867C-E061E42303DA}">
      <text>
        <t>[Threaded comment]
Your version of Excel allows you to read this threaded comment; however, any edits to it will get removed if the file is opened in a newer version of Excel. Learn more: https://go.microsoft.com/fwlink/?linkid=870924
Comment:
    Gender unknown/prefer not to state</t>
      </text>
    </comment>
  </commentList>
</comments>
</file>

<file path=xl/sharedStrings.xml><?xml version="1.0" encoding="utf-8"?>
<sst xmlns="http://schemas.openxmlformats.org/spreadsheetml/2006/main" count="536" uniqueCount="234">
  <si>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</si>
  <si>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</si>
  <si>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</si>
  <si>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</si>
  <si>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</si>
  <si>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</si>
  <si>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</si>
  <si>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</si>
  <si>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</si>
  <si>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</si>
  <si>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</si>
  <si>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</si>
  <si>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</si>
  <si>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</si>
  <si>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</si>
  <si>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</si>
  <si>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</si>
  <si>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</si>
  <si>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</si>
  <si>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</si>
  <si>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</si>
  <si>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</si>
  <si>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</si>
  <si>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</si>
  <si>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</si>
  <si>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</si>
  <si>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</si>
  <si>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</si>
  <si>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</si>
  <si>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</si>
  <si>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</si>
  <si>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</si>
  <si>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</si>
  <si>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</si>
  <si>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</si>
  <si>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</si>
  <si>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</si>
  <si>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</si>
  <si>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</si>
  <si>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</si>
  <si>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</si>
  <si>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</si>
  <si>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</si>
  <si>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</si>
  <si>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</si>
  <si>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</si>
  <si>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</si>
  <si>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</si>
  <si>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</si>
  <si>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</si>
  <si>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CITY OF SANTA MONICA</t>
  </si>
  <si>
    <t>FY 2020-21 PROGRAM BUDGET &amp; FISCAL REPORTING</t>
  </si>
  <si>
    <t>SECTION I:  BUDGET SUMMARY</t>
  </si>
  <si>
    <t>TOTAL
PROGRAM
BUDGET</t>
  </si>
  <si>
    <t>SM GRANT
BUDGET</t>
  </si>
  <si>
    <t>NON-CITY PROGRAM BUDGET</t>
  </si>
  <si>
    <t>SM 
1st PERIOD EXPEND.</t>
  </si>
  <si>
    <t>SM  
2nd PERIOD EXPEND.</t>
  </si>
  <si>
    <t>SM TOTAL EXPEND.</t>
  </si>
  <si>
    <t>SM PERCENT EXPENDED</t>
  </si>
  <si>
    <t>YEAR-END
 TOTAL PROGRAM EXPEND.</t>
  </si>
  <si>
    <t>1A. Staff Salaries</t>
  </si>
  <si>
    <t>AGENCY NAME:</t>
  </si>
  <si>
    <t>Santa Monica College</t>
  </si>
  <si>
    <t>1B. Staff Fringe Benefits</t>
  </si>
  <si>
    <t>PROGRAM NAME:</t>
  </si>
  <si>
    <t>Pico Partnership</t>
  </si>
  <si>
    <t>1C. Consultant Services</t>
  </si>
  <si>
    <t>2.   Space/Facilities</t>
  </si>
  <si>
    <t>3.   Equipment Purchase</t>
  </si>
  <si>
    <t>REPORTING PERIOD:</t>
  </si>
  <si>
    <t>Year-End Report (2nd Period): 1/1/21 - 6/30/21</t>
  </si>
  <si>
    <t>4.   Travel/Training</t>
  </si>
  <si>
    <t>5.   Insurance</t>
  </si>
  <si>
    <t>6.   Operating Expenses</t>
  </si>
  <si>
    <t>A. Total City Funds Received to Date:</t>
  </si>
  <si>
    <t>7.   Scholarships/Stipends</t>
  </si>
  <si>
    <t>B. Total City Funds Expended to Date:</t>
  </si>
  <si>
    <t>8.   Other</t>
  </si>
  <si>
    <t>C. Cash Balance (Line A - Line B):</t>
  </si>
  <si>
    <t>9.   Indirect Administrative Costs</t>
  </si>
  <si>
    <t>10.   TOTAL BUDGET</t>
  </si>
  <si>
    <t>FY 2020-21 Program Budget: 7/1/20-6/30/21</t>
  </si>
  <si>
    <t>Mid-Year Report (1st Period): 7/1/20 - 12/31/20</t>
  </si>
  <si>
    <t>SECTION II:  LINE ITEM DETAIL</t>
  </si>
  <si>
    <t>1A.  Staff Salaries</t>
  </si>
  <si>
    <t>List all paid program and administrative positions (both City and non-City funded) and complete all fields below. Total Program Budget for each staff position should equal FTE * Monthly Salary x Months x % FTE to Program.</t>
  </si>
  <si>
    <t>Staff Name</t>
  </si>
  <si>
    <t>Title</t>
  </si>
  <si>
    <t>Nick Mata</t>
  </si>
  <si>
    <t>Associate Dean of Special Programs</t>
  </si>
  <si>
    <t>Senior/ Executive Management</t>
  </si>
  <si>
    <t>Aimee Lem</t>
  </si>
  <si>
    <t>Project Manager</t>
  </si>
  <si>
    <t>Direct Service Provision/ Program Staff</t>
  </si>
  <si>
    <t>Yomira Bautista</t>
  </si>
  <si>
    <t>Student Services Clerk</t>
  </si>
  <si>
    <t>Administrative Support</t>
  </si>
  <si>
    <t>Gabriela Corona</t>
  </si>
  <si>
    <t>Academic/Outreach Counselor (Summer/Fall/Winter/Spring)</t>
  </si>
  <si>
    <t>Rocio Menedez Mata</t>
  </si>
  <si>
    <t>Academic Counselor (Summer/Fall/Winter/Spring)</t>
  </si>
  <si>
    <t>Esmeralda Martinez and Rachelle Cohn-Schneider</t>
  </si>
  <si>
    <t>Career Counselor(s) (Fall/Spring)</t>
  </si>
  <si>
    <t>1A.  Staff Salaries TOTAL</t>
  </si>
  <si>
    <t>1B.  Staff Fringe Benefits</t>
  </si>
  <si>
    <t>List each fringe benefit as a percentage of total staff salaries listed above (FICA, SUI, Workers’ Compensation, Medical Insurance, Retirement, etc.).</t>
  </si>
  <si>
    <t>Description</t>
  </si>
  <si>
    <t>Total benefits calculated at 30% of salary</t>
  </si>
  <si>
    <t>1B.  Staff Fringe Benefits TOTAL</t>
  </si>
  <si>
    <t>1C.  Consultant Services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</si>
  <si>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</si>
  <si>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</si>
  <si>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1C.  Consultant Services TOTAL</t>
  </si>
  <si>
    <t>2.  Space/Facilities</t>
  </si>
  <si>
    <t>List any rental costs, utilities, janitorial costs, and any other facility costs.</t>
  </si>
  <si>
    <t>2.  Space/Facilities TOTAL</t>
  </si>
  <si>
    <t>3.  Equipment Purchase</t>
  </si>
  <si>
    <t>Equipment is defined as non-expendable personal property having a useful life of more than one year and a unit cost of $1,000 or more. List each item to be leased, rented or purchased.</t>
  </si>
  <si>
    <t>3.  Equipment Purchase TOTAL</t>
  </si>
  <si>
    <t>4.  Travel/Training</t>
  </si>
  <si>
    <t>List any trainings/seminars/conferences to be attended and include any amounts for travel, per diem, lodging, etc. For mileage, include mileage reimbursement rate in calculation.</t>
  </si>
  <si>
    <t>4.  Travel/Training TOTAL</t>
  </si>
  <si>
    <t>5.  Insurance</t>
  </si>
  <si>
    <t>Insurance coverage should align with City contract provisions.</t>
  </si>
  <si>
    <t>5.  Insurance TOTAL</t>
  </si>
  <si>
    <t>6.  Operating Expenses</t>
  </si>
  <si>
    <t xml:space="preserve">List all operating expenses [e.g., telephone, utilities, office supplies, printing, annual agency financial audit (required by the contract), etc.] included in the Total Program Budget. </t>
  </si>
  <si>
    <t>6.  Operating Expenses TOTAL</t>
  </si>
  <si>
    <t>7.  Scholarships/Stipends</t>
  </si>
  <si>
    <t>List any scholarships or stipends, and include: number of recipients, maximum amount per recipient, and basis for computation.</t>
  </si>
  <si>
    <t>SMC Bookstore Vouchers</t>
  </si>
  <si>
    <t>7.  Scholarships/Stipends TOTAL</t>
  </si>
  <si>
    <t>8.  Other</t>
  </si>
  <si>
    <t>List any program expense not appropriate for any of the above line items and provide justification.</t>
  </si>
  <si>
    <t>Office supplies, calculated at $32.50 per month for 10 months</t>
  </si>
  <si>
    <t>Meal Vouchers, calculated at 50 students, 2 per student (1 per semester) @ $5 each</t>
  </si>
  <si>
    <t>8.  Other TOTAL</t>
  </si>
  <si>
    <t>9.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</si>
  <si>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</si>
  <si>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</si>
  <si>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</si>
  <si>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</si>
  <si>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</si>
  <si>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9.  Indirect Administrative Costs TOTAL</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</si>
  <si>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</si>
  <si>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</si>
  <si>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</si>
  <si>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</si>
  <si>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</si>
  <si>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</si>
  <si>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</si>
  <si>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</si>
  <si>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</si>
  <si>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</si>
  <si>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</si>
  <si>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</si>
  <si>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</si>
  <si>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SMC General Fund, SEAP</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</si>
  <si>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</si>
  <si>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</si>
  <si>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</si>
  <si>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</si>
  <si>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Projection</t>
  </si>
  <si>
    <t>Mid-Year</t>
  </si>
  <si>
    <t>Year-End</t>
  </si>
  <si>
    <t>FY 2020-21 Program Participants and Demographics</t>
  </si>
  <si>
    <t>INDIVIDUALS RECEIVING CONTRACTED SERVICES
(Number of Participants)</t>
  </si>
  <si>
    <t>Projected Total</t>
  </si>
  <si>
    <t>Mid-Year Actuals</t>
  </si>
  <si>
    <t>Year-End Actuals</t>
  </si>
  <si>
    <t>Demographics</t>
  </si>
  <si>
    <t>Individuals</t>
  </si>
  <si>
    <t>Total Unduplicated PP</t>
  </si>
  <si>
    <t>Total SMPP</t>
  </si>
  <si>
    <t>Low-Income SMPP</t>
  </si>
  <si>
    <t>Homeless SMPP</t>
  </si>
  <si>
    <t>N/A</t>
  </si>
  <si>
    <t>w/ Disabilities SMPP</t>
  </si>
  <si>
    <t>Served in Military</t>
  </si>
  <si>
    <t>Pico Neighborhood SMPP</t>
  </si>
  <si>
    <t>Primary Language not English SMPP</t>
  </si>
  <si>
    <t>RACE AND ETHNICITY
(Number of Participants)</t>
  </si>
  <si>
    <t>Race and Ethnicity</t>
  </si>
  <si>
    <t>African-American</t>
  </si>
  <si>
    <t>Asian or Pacific Islander</t>
  </si>
  <si>
    <t>Latino</t>
  </si>
  <si>
    <t>White</t>
  </si>
  <si>
    <t>Multiple Race/Ethnicity</t>
  </si>
  <si>
    <t>Other</t>
  </si>
  <si>
    <t>Refuse to State</t>
  </si>
  <si>
    <t>Total</t>
  </si>
  <si>
    <t>ZIP CODE
(Number of Participants)</t>
  </si>
  <si>
    <t>Zip Code</t>
  </si>
  <si>
    <t>Other Zip Code</t>
  </si>
  <si>
    <t>AGE AND GENDER
(Number of Participants)</t>
  </si>
  <si>
    <t>Male</t>
  </si>
  <si>
    <t>Female</t>
  </si>
  <si>
    <t xml:space="preserve">Transgender </t>
  </si>
  <si>
    <t>Age and Gender</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</si>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</sst>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29"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u/>
      <sz val="10"/>
      <color theme="10"/>
      <name val="Arial"/>
      <family val="2"/>
    </font>
  </fonts>
  <fills count="13">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bottom style="medium">
        <color rgb="FF000000"/>
      </bottom>
      <diagonal/>
    </border>
    <border>
      <left/>
      <right/>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bottom style="medium">
        <color rgb="FF000000"/>
      </bottom>
      <diagonal/>
    </border>
    <border>
      <left/>
      <right style="medium">
        <color rgb="FF000000"/>
      </right>
      <top/>
      <bottom style="medium">
        <color rgb="FF000000"/>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bottom style="medium">
        <color indexed="64"/>
      </bottom>
      <diagonal/>
    </border>
    <border>
      <left style="medium">
        <color indexed="64"/>
      </left>
      <right style="thin">
        <color theme="0" tint="-0.24994659260841701"/>
      </right>
      <top style="thin">
        <color theme="0" tint="-0.24994659260841701"/>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9" fontId="1" fillId="0" borderId="0" applyFont="0" applyFill="0" applyBorder="0" applyAlignment="0" applyProtection="0"/>
    <xf numFmtId="0" fontId="28" fillId="0" borderId="0" applyNumberFormat="0" applyFill="0" applyBorder="0" applyAlignment="0" applyProtection="0"/>
  </cellStyleXfs>
  <cellXfs count="300">
    <xf numFmtId="0" fontId="0" fillId="0" borderId="0" xfId="0"/>
    <xf numFmtId="0" fontId="1" fillId="0" borderId="0" xfId="3"/>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166" fontId="6" fillId="4" borderId="9" xfId="1" applyNumberFormat="1" applyFont="1" applyFill="1" applyBorder="1" applyAlignment="1" applyProtection="1">
      <alignment horizontal="center"/>
    </xf>
    <xf numFmtId="9" fontId="6" fillId="4" borderId="10" xfId="5" applyFont="1" applyFill="1" applyBorder="1" applyAlignment="1" applyProtection="1">
      <alignment horizontal="center"/>
    </xf>
    <xf numFmtId="0" fontId="6"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6" fillId="4" borderId="7" xfId="1" applyNumberFormat="1" applyFont="1" applyFill="1" applyBorder="1" applyAlignment="1" applyProtection="1">
      <alignment horizontal="center"/>
    </xf>
    <xf numFmtId="9" fontId="6" fillId="4" borderId="0" xfId="5" applyFont="1" applyFill="1" applyBorder="1" applyAlignment="1" applyProtection="1">
      <alignment horizontal="center"/>
    </xf>
    <xf numFmtId="0" fontId="6"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9" fontId="1" fillId="0" borderId="21" xfId="5" applyFont="1" applyFill="1" applyBorder="1" applyAlignment="1" applyProtection="1">
      <alignment horizontal="center"/>
    </xf>
    <xf numFmtId="164" fontId="1" fillId="0" borderId="21" xfId="2" applyNumberFormat="1" applyFont="1" applyFill="1" applyBorder="1" applyProtection="1"/>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0" borderId="22" xfId="3" applyNumberFormat="1" applyFont="1" applyFill="1" applyBorder="1" applyProtection="1"/>
    <xf numFmtId="0" fontId="7" fillId="0" borderId="0" xfId="3" applyFont="1" applyFill="1" applyBorder="1" applyAlignment="1" applyProtection="1">
      <alignment horizontal="center" wrapText="1"/>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4"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horizontal="center"/>
    </xf>
    <xf numFmtId="0" fontId="1" fillId="0" borderId="0" xfId="3" applyFont="1" applyFill="1" applyBorder="1" applyAlignment="1" applyProtection="1">
      <alignment vertical="center" wrapText="1"/>
    </xf>
    <xf numFmtId="164" fontId="1" fillId="0" borderId="23" xfId="2" applyNumberFormat="1" applyFont="1" applyFill="1" applyBorder="1" applyProtection="1"/>
    <xf numFmtId="9" fontId="1" fillId="0" borderId="23" xfId="5" applyFont="1" applyFill="1" applyBorder="1" applyAlignment="1" applyProtection="1">
      <alignment horizontal="center"/>
    </xf>
    <xf numFmtId="0" fontId="2" fillId="0" borderId="0" xfId="3" applyFont="1" applyAlignment="1">
      <alignment horizontal="center"/>
    </xf>
    <xf numFmtId="9" fontId="7" fillId="0" borderId="0" xfId="5" applyFont="1" applyFill="1" applyBorder="1" applyAlignment="1" applyProtection="1">
      <alignment horizontal="center" wrapText="1"/>
    </xf>
    <xf numFmtId="166" fontId="7" fillId="0" borderId="7" xfId="1" applyNumberFormat="1" applyFont="1" applyFill="1" applyBorder="1" applyAlignment="1" applyProtection="1">
      <alignment horizontal="center" wrapText="1"/>
    </xf>
    <xf numFmtId="0" fontId="1" fillId="0" borderId="5" xfId="3" applyFont="1" applyFill="1" applyBorder="1" applyProtection="1"/>
    <xf numFmtId="0" fontId="10" fillId="0" borderId="8" xfId="3" applyFont="1" applyFill="1" applyBorder="1" applyAlignment="1" applyProtection="1">
      <alignment wrapText="1"/>
    </xf>
    <xf numFmtId="0" fontId="10" fillId="0" borderId="0" xfId="3" applyFont="1" applyFill="1" applyBorder="1" applyAlignment="1" applyProtection="1">
      <alignment wrapText="1"/>
    </xf>
    <xf numFmtId="0" fontId="10" fillId="0" borderId="0" xfId="3" applyFont="1" applyFill="1" applyBorder="1" applyAlignment="1" applyProtection="1">
      <alignment horizontal="center" wrapText="1"/>
    </xf>
    <xf numFmtId="0" fontId="1" fillId="0" borderId="6" xfId="3" applyFont="1" applyFill="1" applyBorder="1" applyProtection="1"/>
    <xf numFmtId="0" fontId="2" fillId="4" borderId="25" xfId="3" applyFont="1" applyFill="1" applyBorder="1" applyAlignment="1" applyProtection="1">
      <alignment horizontal="left"/>
    </xf>
    <xf numFmtId="0" fontId="2" fillId="4" borderId="26" xfId="3" applyFont="1" applyFill="1" applyBorder="1" applyAlignment="1" applyProtection="1">
      <alignment horizontal="right"/>
    </xf>
    <xf numFmtId="0" fontId="2" fillId="4" borderId="26" xfId="3" applyFont="1" applyFill="1" applyBorder="1" applyAlignment="1" applyProtection="1">
      <alignment horizontal="center"/>
    </xf>
    <xf numFmtId="164" fontId="2" fillId="4" borderId="26" xfId="2" applyNumberFormat="1" applyFont="1" applyFill="1" applyBorder="1" applyProtection="1"/>
    <xf numFmtId="9" fontId="2" fillId="4" borderId="26" xfId="5" applyFont="1" applyFill="1" applyBorder="1" applyAlignment="1" applyProtection="1">
      <alignment horizontal="center"/>
    </xf>
    <xf numFmtId="164" fontId="2" fillId="4" borderId="27" xfId="2" applyNumberFormat="1" applyFont="1" applyFill="1" applyBorder="1" applyProtection="1"/>
    <xf numFmtId="0" fontId="11" fillId="0" borderId="0" xfId="3" applyFont="1" applyFill="1" applyBorder="1" applyAlignment="1" applyProtection="1">
      <alignment horizontal="center"/>
    </xf>
    <xf numFmtId="0" fontId="11" fillId="4" borderId="8" xfId="3" applyFont="1" applyFill="1" applyBorder="1" applyAlignment="1" applyProtection="1"/>
    <xf numFmtId="0" fontId="11" fillId="4" borderId="0" xfId="3" applyFont="1" applyFill="1" applyBorder="1" applyAlignment="1" applyProtection="1">
      <alignment wrapText="1"/>
    </xf>
    <xf numFmtId="0" fontId="11" fillId="4" borderId="0" xfId="3" applyFont="1" applyFill="1" applyBorder="1" applyProtection="1"/>
    <xf numFmtId="0" fontId="11" fillId="4" borderId="7" xfId="3" applyFont="1" applyFill="1" applyBorder="1" applyProtection="1"/>
    <xf numFmtId="0" fontId="11" fillId="0" borderId="0" xfId="3" applyFont="1" applyFill="1" applyBorder="1" applyProtection="1"/>
    <xf numFmtId="164" fontId="11" fillId="4" borderId="0" xfId="2" applyNumberFormat="1" applyFont="1" applyFill="1" applyBorder="1" applyProtection="1"/>
    <xf numFmtId="9" fontId="11" fillId="4" borderId="0" xfId="5" applyFont="1" applyFill="1" applyBorder="1" applyAlignment="1" applyProtection="1">
      <alignment horizontal="center"/>
    </xf>
    <xf numFmtId="44" fontId="11" fillId="4" borderId="7" xfId="2" applyFont="1" applyFill="1" applyBorder="1" applyProtection="1"/>
    <xf numFmtId="0" fontId="11" fillId="0" borderId="0" xfId="3" applyFont="1" applyFill="1" applyProtection="1"/>
    <xf numFmtId="0" fontId="11" fillId="4" borderId="8" xfId="3" applyFont="1" applyFill="1" applyBorder="1" applyProtection="1"/>
    <xf numFmtId="0" fontId="6" fillId="4" borderId="0" xfId="3" applyFont="1" applyFill="1" applyBorder="1" applyProtection="1"/>
    <xf numFmtId="0" fontId="6" fillId="0" borderId="0" xfId="3" applyFont="1" applyFill="1" applyBorder="1" applyAlignment="1" applyProtection="1">
      <alignment horizontal="center"/>
    </xf>
    <xf numFmtId="0" fontId="12" fillId="0" borderId="0" xfId="3" applyFont="1" applyFill="1" applyBorder="1" applyAlignment="1" applyProtection="1"/>
    <xf numFmtId="0" fontId="12" fillId="0" borderId="0" xfId="3" applyFont="1" applyFill="1" applyBorder="1" applyAlignment="1" applyProtection="1">
      <alignment vertical="top"/>
    </xf>
    <xf numFmtId="0" fontId="1" fillId="0" borderId="0" xfId="3" applyFont="1" applyFill="1" applyAlignment="1" applyProtection="1"/>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15" fillId="0" borderId="0" xfId="3" applyFont="1" applyFill="1" applyBorder="1" applyAlignment="1" applyProtection="1">
      <alignment horizontal="center"/>
    </xf>
    <xf numFmtId="0" fontId="6" fillId="4" borderId="8" xfId="3" applyFont="1" applyFill="1" applyBorder="1" applyAlignment="1" applyProtection="1">
      <alignment horizontal="left" indent="1"/>
    </xf>
    <xf numFmtId="0" fontId="1" fillId="0" borderId="10" xfId="3" applyFont="1" applyFill="1" applyBorder="1" applyProtection="1"/>
    <xf numFmtId="0" fontId="13"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8" borderId="18" xfId="3" applyFont="1" applyFill="1" applyBorder="1" applyAlignment="1" applyProtection="1">
      <alignment horizontal="left"/>
    </xf>
    <xf numFmtId="0" fontId="3" fillId="8"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8" borderId="19" xfId="2" applyNumberFormat="1" applyFont="1" applyFill="1" applyBorder="1" applyAlignment="1" applyProtection="1">
      <alignment horizontal="center"/>
    </xf>
    <xf numFmtId="0" fontId="13" fillId="0" borderId="11" xfId="3" applyFont="1" applyBorder="1" applyProtection="1"/>
    <xf numFmtId="0" fontId="6" fillId="0" borderId="10" xfId="3" applyFont="1" applyBorder="1" applyAlignment="1" applyProtection="1">
      <alignment horizontal="center" wrapText="1"/>
    </xf>
    <xf numFmtId="0" fontId="6" fillId="0" borderId="9" xfId="3" applyFont="1" applyBorder="1" applyAlignment="1" applyProtection="1">
      <alignment horizontal="center" wrapText="1"/>
    </xf>
    <xf numFmtId="164" fontId="1" fillId="0" borderId="22" xfId="2" applyNumberFormat="1" applyFont="1" applyBorder="1" applyProtection="1"/>
    <xf numFmtId="164" fontId="1" fillId="0" borderId="23" xfId="2" applyNumberFormat="1" applyFont="1" applyBorder="1" applyProtection="1"/>
    <xf numFmtId="0" fontId="3" fillId="0" borderId="6" xfId="3" applyFont="1" applyBorder="1" applyProtection="1"/>
    <xf numFmtId="164" fontId="3" fillId="8" borderId="34" xfId="2" applyNumberFormat="1" applyFont="1" applyFill="1" applyBorder="1" applyProtection="1"/>
    <xf numFmtId="164" fontId="3" fillId="8" borderId="35" xfId="2" applyNumberFormat="1" applyFont="1" applyFill="1" applyBorder="1" applyProtection="1"/>
    <xf numFmtId="0" fontId="2" fillId="0" borderId="0" xfId="3" applyFont="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20" xfId="3" applyFont="1" applyFill="1" applyBorder="1" applyAlignment="1">
      <alignment horizontal="center" vertical="center" wrapText="1"/>
    </xf>
    <xf numFmtId="0" fontId="12" fillId="0" borderId="0" xfId="3" applyFont="1"/>
    <xf numFmtId="9" fontId="6"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2" xfId="0" applyFont="1" applyBorder="1" applyAlignment="1" applyProtection="1"/>
    <xf numFmtId="0" fontId="1" fillId="0" borderId="10" xfId="3" applyFont="1" applyBorder="1" applyProtection="1"/>
    <xf numFmtId="0" fontId="1" fillId="0" borderId="0" xfId="3" applyFont="1" applyBorder="1" applyProtection="1"/>
    <xf numFmtId="0" fontId="19" fillId="0" borderId="0" xfId="3" applyFont="1" applyAlignment="1" applyProtection="1">
      <alignment horizontal="center"/>
    </xf>
    <xf numFmtId="0" fontId="3" fillId="0" borderId="12" xfId="3" applyFont="1" applyFill="1" applyBorder="1" applyAlignment="1" applyProtection="1"/>
    <xf numFmtId="164" fontId="3" fillId="10" borderId="2" xfId="2" applyNumberFormat="1" applyFont="1" applyFill="1" applyBorder="1" applyAlignment="1" applyProtection="1">
      <alignment horizontal="center"/>
    </xf>
    <xf numFmtId="0" fontId="2" fillId="0" borderId="0"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2"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Alignment="1" applyProtection="1">
      <alignment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horizontal="center"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0" fontId="19" fillId="0" borderId="0" xfId="3" applyFont="1" applyFill="1" applyBorder="1" applyProtection="1"/>
    <xf numFmtId="0" fontId="19" fillId="0" borderId="0" xfId="3" applyFont="1" applyBorder="1" applyProtection="1"/>
    <xf numFmtId="0" fontId="19" fillId="0" borderId="0" xfId="3" applyFont="1" applyBorder="1" applyAlignment="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19" fillId="0" borderId="0" xfId="3" applyFont="1" applyProtection="1"/>
    <xf numFmtId="0" fontId="1" fillId="0" borderId="37" xfId="3" applyFont="1" applyFill="1" applyBorder="1" applyProtection="1"/>
    <xf numFmtId="0" fontId="1" fillId="0" borderId="36" xfId="3" applyFont="1" applyFill="1" applyBorder="1" applyProtection="1"/>
    <xf numFmtId="0" fontId="1" fillId="0" borderId="8" xfId="3" applyFont="1" applyFill="1" applyBorder="1" applyProtection="1"/>
    <xf numFmtId="164" fontId="1" fillId="0" borderId="24"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38" xfId="2" applyNumberFormat="1" applyFont="1" applyFill="1" applyBorder="1" applyProtection="1"/>
    <xf numFmtId="9" fontId="2" fillId="0" borderId="38" xfId="5" applyFont="1" applyFill="1" applyBorder="1" applyAlignment="1" applyProtection="1">
      <alignment horizontal="center"/>
    </xf>
    <xf numFmtId="164" fontId="2" fillId="0" borderId="39"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41"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1"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2" fillId="0" borderId="16" xfId="3" applyFont="1" applyFill="1" applyBorder="1" applyAlignment="1" applyProtection="1">
      <alignment horizontal="right" vertical="center"/>
    </xf>
    <xf numFmtId="0" fontId="22" fillId="0" borderId="16" xfId="3" quotePrefix="1" applyFont="1" applyFill="1" applyBorder="1" applyAlignment="1" applyProtection="1">
      <alignment horizontal="right" vertical="center"/>
    </xf>
    <xf numFmtId="0" fontId="21"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2" fillId="0" borderId="0" xfId="3" applyFont="1" applyFill="1" applyBorder="1" applyAlignment="1" applyProtection="1">
      <alignment horizontal="left" vertical="center" wrapText="1"/>
    </xf>
    <xf numFmtId="0" fontId="12" fillId="0" borderId="0" xfId="3" applyFont="1" applyFill="1" applyBorder="1" applyAlignment="1" applyProtection="1">
      <alignment horizontal="center" vertical="center" wrapText="1"/>
    </xf>
    <xf numFmtId="0" fontId="21" fillId="4" borderId="16" xfId="3" applyFont="1" applyFill="1" applyBorder="1" applyAlignment="1" applyProtection="1">
      <alignment horizontal="center" vertical="center" wrapText="1"/>
    </xf>
    <xf numFmtId="0" fontId="4" fillId="0" borderId="16" xfId="0" applyFont="1" applyBorder="1" applyAlignment="1" applyProtection="1">
      <alignment horizontal="right" vertical="center"/>
    </xf>
    <xf numFmtId="0" fontId="3" fillId="0" borderId="16" xfId="0" applyFont="1" applyBorder="1" applyAlignment="1" applyProtection="1">
      <alignment horizontal="right" vertical="center"/>
    </xf>
    <xf numFmtId="164" fontId="1" fillId="6" borderId="23" xfId="2" applyNumberFormat="1" applyFont="1" applyFill="1" applyBorder="1" applyProtection="1"/>
    <xf numFmtId="164" fontId="1" fillId="12" borderId="22" xfId="2" applyNumberFormat="1" applyFont="1" applyFill="1" applyBorder="1" applyProtection="1"/>
    <xf numFmtId="164" fontId="1" fillId="12" borderId="23" xfId="2" applyNumberFormat="1" applyFont="1" applyFill="1" applyBorder="1" applyProtection="1"/>
    <xf numFmtId="0" fontId="1" fillId="12" borderId="28" xfId="0" applyFont="1" applyFill="1" applyBorder="1" applyAlignment="1" applyProtection="1">
      <alignment horizontal="left" vertical="top" shrinkToFit="1"/>
    </xf>
    <xf numFmtId="0" fontId="1" fillId="12" borderId="8" xfId="3" applyFont="1" applyFill="1" applyBorder="1" applyAlignment="1" applyProtection="1">
      <alignment horizontal="left" vertical="top" wrapText="1"/>
    </xf>
    <xf numFmtId="0" fontId="1" fillId="12" borderId="40" xfId="0" applyFont="1" applyFill="1" applyBorder="1" applyAlignment="1" applyProtection="1">
      <alignment horizontal="left" vertical="top" shrinkToFit="1"/>
    </xf>
    <xf numFmtId="44" fontId="1" fillId="12" borderId="23" xfId="2" applyFont="1" applyFill="1" applyBorder="1" applyProtection="1"/>
    <xf numFmtId="0" fontId="1" fillId="12" borderId="32" xfId="0" applyFont="1" applyFill="1" applyBorder="1" applyAlignment="1" applyProtection="1">
      <alignment horizontal="left" vertical="top"/>
    </xf>
    <xf numFmtId="0" fontId="1" fillId="12" borderId="31" xfId="3" applyFont="1" applyFill="1" applyBorder="1" applyAlignment="1" applyProtection="1">
      <alignment horizontal="left" vertical="top"/>
    </xf>
    <xf numFmtId="164" fontId="1" fillId="12" borderId="21" xfId="2" applyNumberFormat="1" applyFont="1" applyFill="1" applyBorder="1" applyProtection="1"/>
    <xf numFmtId="44" fontId="1" fillId="12" borderId="22" xfId="2" applyFont="1" applyFill="1" applyBorder="1" applyProtection="1"/>
    <xf numFmtId="0" fontId="1" fillId="12" borderId="22" xfId="0" applyFont="1" applyFill="1" applyBorder="1" applyAlignment="1" applyProtection="1">
      <alignment horizontal="left" vertical="top"/>
    </xf>
    <xf numFmtId="43" fontId="1" fillId="12" borderId="22" xfId="0" applyNumberFormat="1" applyFont="1" applyFill="1" applyBorder="1" applyAlignment="1" applyProtection="1">
      <alignment horizontal="center" vertical="top" shrinkToFit="1"/>
    </xf>
    <xf numFmtId="44"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0" fontId="1" fillId="12" borderId="22" xfId="0" applyFont="1" applyFill="1" applyBorder="1" applyAlignment="1" applyProtection="1">
      <alignment horizontal="left" vertical="top" wrapText="1"/>
    </xf>
    <xf numFmtId="43" fontId="1" fillId="12" borderId="23" xfId="0" applyNumberFormat="1" applyFont="1" applyFill="1" applyBorder="1" applyAlignment="1" applyProtection="1">
      <alignment horizontal="center" vertical="top" shrinkToFit="1"/>
    </xf>
    <xf numFmtId="44" fontId="1" fillId="12" borderId="23" xfId="0" applyNumberFormat="1" applyFont="1" applyFill="1" applyBorder="1" applyAlignment="1" applyProtection="1">
      <alignment horizontal="center" vertical="top" shrinkToFit="1"/>
    </xf>
    <xf numFmtId="9" fontId="1" fillId="12" borderId="23" xfId="0" applyNumberFormat="1" applyFont="1" applyFill="1" applyBorder="1" applyAlignment="1" applyProtection="1">
      <alignment horizontal="center" vertical="top" shrinkToFit="1"/>
    </xf>
    <xf numFmtId="0" fontId="2" fillId="12" borderId="12" xfId="3" applyFont="1" applyFill="1" applyBorder="1" applyProtection="1"/>
    <xf numFmtId="0" fontId="2" fillId="12" borderId="17" xfId="3" applyFont="1" applyFill="1" applyBorder="1" applyProtection="1"/>
    <xf numFmtId="0" fontId="4" fillId="12" borderId="16" xfId="3" applyFont="1" applyFill="1" applyBorder="1" applyAlignment="1" applyProtection="1">
      <alignment horizontal="center" vertical="center" wrapText="1"/>
    </xf>
    <xf numFmtId="44" fontId="4" fillId="12" borderId="16" xfId="2" applyFont="1" applyFill="1" applyBorder="1" applyAlignment="1" applyProtection="1">
      <alignment horizontal="center" vertical="center" wrapText="1"/>
    </xf>
    <xf numFmtId="1" fontId="4" fillId="12" borderId="16" xfId="3" applyNumberFormat="1" applyFont="1" applyFill="1" applyBorder="1" applyAlignment="1" applyProtection="1">
      <alignment horizontal="center" vertical="center" wrapText="1"/>
    </xf>
    <xf numFmtId="1" fontId="21" fillId="0" borderId="16" xfId="3" applyNumberFormat="1" applyFont="1" applyFill="1" applyBorder="1" applyAlignment="1" applyProtection="1">
      <alignment horizontal="center" vertical="center" wrapText="1"/>
    </xf>
    <xf numFmtId="0" fontId="21" fillId="4" borderId="16" xfId="3" applyFont="1" applyFill="1" applyBorder="1" applyAlignment="1" applyProtection="1">
      <alignment horizontal="left" vertical="center" wrapText="1"/>
    </xf>
    <xf numFmtId="0" fontId="2" fillId="4" borderId="45" xfId="3" applyFont="1" applyFill="1" applyBorder="1" applyAlignment="1" applyProtection="1">
      <alignment horizontal="left"/>
    </xf>
    <xf numFmtId="0" fontId="2" fillId="4" borderId="37" xfId="3" applyFont="1" applyFill="1" applyBorder="1" applyAlignment="1" applyProtection="1">
      <alignment horizontal="right"/>
    </xf>
    <xf numFmtId="164" fontId="2" fillId="4" borderId="37" xfId="2" applyNumberFormat="1" applyFont="1" applyFill="1" applyBorder="1" applyProtection="1"/>
    <xf numFmtId="9" fontId="2" fillId="4" borderId="37" xfId="5" applyFont="1" applyFill="1" applyBorder="1" applyAlignment="1" applyProtection="1">
      <alignment horizontal="center"/>
    </xf>
    <xf numFmtId="164" fontId="2" fillId="4" borderId="46" xfId="2" applyNumberFormat="1" applyFont="1" applyFill="1" applyBorder="1" applyProtection="1"/>
    <xf numFmtId="0" fontId="1" fillId="12" borderId="47" xfId="0" applyFont="1" applyFill="1" applyBorder="1" applyAlignment="1" applyProtection="1">
      <alignment horizontal="left" vertical="top"/>
    </xf>
    <xf numFmtId="0" fontId="1" fillId="12" borderId="47" xfId="0" applyFont="1" applyFill="1" applyBorder="1" applyAlignment="1" applyProtection="1">
      <alignment horizontal="left" vertical="top" wrapText="1"/>
    </xf>
    <xf numFmtId="0" fontId="1" fillId="12" borderId="48" xfId="0" applyFont="1" applyFill="1" applyBorder="1" applyAlignment="1" applyProtection="1">
      <alignment horizontal="left" vertical="top"/>
    </xf>
    <xf numFmtId="0" fontId="1" fillId="12" borderId="38" xfId="0" applyFont="1" applyFill="1" applyBorder="1" applyAlignment="1" applyProtection="1">
      <alignment horizontal="left" vertical="top"/>
    </xf>
    <xf numFmtId="43" fontId="1" fillId="12" borderId="38" xfId="0" applyNumberFormat="1" applyFont="1" applyFill="1" applyBorder="1" applyAlignment="1" applyProtection="1">
      <alignment horizontal="center" vertical="top" shrinkToFit="1"/>
    </xf>
    <xf numFmtId="44" fontId="1" fillId="12" borderId="38" xfId="0" applyNumberFormat="1" applyFont="1" applyFill="1" applyBorder="1" applyAlignment="1" applyProtection="1">
      <alignment horizontal="center" vertical="top" shrinkToFit="1"/>
    </xf>
    <xf numFmtId="0" fontId="1" fillId="12" borderId="38" xfId="0" applyFont="1" applyFill="1" applyBorder="1" applyAlignment="1" applyProtection="1">
      <alignment horizontal="center" vertical="top" shrinkToFit="1"/>
    </xf>
    <xf numFmtId="9" fontId="1" fillId="12" borderId="38" xfId="0" applyNumberFormat="1" applyFont="1" applyFill="1" applyBorder="1" applyAlignment="1" applyProtection="1">
      <alignment horizontal="center" vertical="top" shrinkToFit="1"/>
    </xf>
    <xf numFmtId="44" fontId="1" fillId="12" borderId="38" xfId="2" applyFont="1" applyFill="1" applyBorder="1" applyProtection="1"/>
    <xf numFmtId="164" fontId="1" fillId="12" borderId="49" xfId="2" applyNumberFormat="1" applyFont="1" applyFill="1" applyBorder="1" applyProtection="1"/>
    <xf numFmtId="164" fontId="1" fillId="0" borderId="38" xfId="3" applyNumberFormat="1" applyFont="1" applyFill="1" applyBorder="1" applyProtection="1"/>
    <xf numFmtId="9" fontId="1" fillId="0" borderId="38" xfId="5" applyFont="1" applyFill="1" applyBorder="1" applyAlignment="1" applyProtection="1">
      <alignment horizontal="center"/>
    </xf>
    <xf numFmtId="44" fontId="4" fillId="12" borderId="44" xfId="2" applyFont="1" applyFill="1" applyBorder="1" applyAlignment="1" applyProtection="1">
      <alignment horizontal="center" vertical="center"/>
    </xf>
    <xf numFmtId="0" fontId="4" fillId="6" borderId="16" xfId="3" applyFont="1" applyFill="1" applyBorder="1" applyAlignment="1" applyProtection="1">
      <alignment horizontal="center" vertical="center" wrapText="1"/>
    </xf>
    <xf numFmtId="1" fontId="4" fillId="6" borderId="16" xfId="3" applyNumberFormat="1" applyFont="1" applyFill="1" applyBorder="1" applyAlignment="1" applyProtection="1">
      <alignment horizontal="center" vertical="center" wrapText="1"/>
    </xf>
    <xf numFmtId="1" fontId="22" fillId="6" borderId="16" xfId="3" applyNumberFormat="1" applyFont="1" applyFill="1" applyBorder="1" applyAlignment="1" applyProtection="1">
      <alignment vertical="center" wrapText="1"/>
    </xf>
    <xf numFmtId="1" fontId="22" fillId="6" borderId="16" xfId="3" applyNumberFormat="1" applyFont="1" applyFill="1" applyBorder="1" applyAlignment="1" applyProtection="1">
      <alignment horizontal="center" vertical="center" wrapText="1"/>
    </xf>
    <xf numFmtId="0" fontId="4" fillId="0" borderId="0" xfId="3" applyFont="1" applyAlignment="1" applyProtection="1">
      <alignment horizontal="center" vertical="center"/>
    </xf>
    <xf numFmtId="0" fontId="3" fillId="0" borderId="0" xfId="3" applyFont="1" applyAlignment="1" applyProtection="1">
      <alignment horizontal="center" vertical="center"/>
    </xf>
    <xf numFmtId="0" fontId="3" fillId="0" borderId="0" xfId="3" applyFont="1" applyAlignment="1" applyProtection="1">
      <alignment vertical="center"/>
    </xf>
    <xf numFmtId="0" fontId="21" fillId="4" borderId="42" xfId="3" applyFont="1" applyFill="1" applyBorder="1" applyAlignment="1" applyProtection="1">
      <alignment horizontal="center" vertical="center"/>
    </xf>
    <xf numFmtId="0" fontId="21" fillId="4" borderId="43" xfId="3" applyFont="1" applyFill="1" applyBorder="1" applyAlignment="1" applyProtection="1">
      <alignment horizontal="center" vertical="center"/>
    </xf>
    <xf numFmtId="0" fontId="4" fillId="0" borderId="0" xfId="3" applyFont="1" applyAlignment="1" applyProtection="1">
      <alignment vertical="center"/>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alignment vertical="top"/>
    </xf>
    <xf numFmtId="0" fontId="2" fillId="0" borderId="8" xfId="3" applyFont="1" applyBorder="1" applyAlignment="1" applyProtection="1">
      <alignment horizontal="left"/>
    </xf>
    <xf numFmtId="0" fontId="11" fillId="12" borderId="12" xfId="3" applyFont="1" applyFill="1" applyBorder="1" applyProtection="1"/>
    <xf numFmtId="44" fontId="1" fillId="6" borderId="12" xfId="2" applyFont="1" applyFill="1" applyBorder="1" applyProtection="1"/>
    <xf numFmtId="44" fontId="1" fillId="0" borderId="12" xfId="2" applyFont="1" applyFill="1" applyBorder="1" applyProtection="1"/>
    <xf numFmtId="164" fontId="1" fillId="6" borderId="22" xfId="2" applyNumberFormat="1" applyFont="1" applyFill="1" applyBorder="1" applyProtection="1"/>
    <xf numFmtId="164" fontId="1" fillId="6" borderId="24" xfId="3" applyNumberFormat="1" applyFont="1" applyFill="1" applyBorder="1" applyProtection="1"/>
    <xf numFmtId="164" fontId="1" fillId="6" borderId="22" xfId="2" applyNumberFormat="1" applyFont="1" applyFill="1" applyBorder="1" applyAlignment="1" applyProtection="1">
      <alignment wrapText="1"/>
    </xf>
    <xf numFmtId="164" fontId="1" fillId="6" borderId="24" xfId="2" applyNumberFormat="1" applyFont="1" applyFill="1" applyBorder="1" applyProtection="1"/>
    <xf numFmtId="164" fontId="1" fillId="6" borderId="38" xfId="2" applyNumberFormat="1" applyFont="1" applyFill="1" applyBorder="1" applyProtection="1"/>
    <xf numFmtId="164" fontId="1" fillId="6" borderId="39" xfId="3" applyNumberFormat="1" applyFont="1" applyFill="1" applyBorder="1" applyProtection="1"/>
    <xf numFmtId="164" fontId="1" fillId="6" borderId="21" xfId="2" applyNumberFormat="1" applyFont="1" applyFill="1" applyBorder="1" applyProtection="1"/>
    <xf numFmtId="44" fontId="1" fillId="6" borderId="30" xfId="2" applyFont="1" applyFill="1" applyBorder="1" applyProtection="1"/>
    <xf numFmtId="44" fontId="1" fillId="6" borderId="24" xfId="2" applyFont="1" applyFill="1" applyBorder="1" applyProtection="1"/>
    <xf numFmtId="44" fontId="1" fillId="6" borderId="29" xfId="2" applyFont="1" applyFill="1" applyBorder="1" applyProtection="1"/>
    <xf numFmtId="0" fontId="1" fillId="12" borderId="28" xfId="2" applyNumberFormat="1" applyFont="1" applyFill="1" applyBorder="1" applyProtection="1"/>
    <xf numFmtId="164" fontId="1" fillId="6" borderId="33" xfId="2" applyNumberFormat="1" applyFont="1" applyFill="1" applyBorder="1" applyProtection="1"/>
    <xf numFmtId="0" fontId="1" fillId="0" borderId="0" xfId="3" applyAlignment="1">
      <alignment horizontal="left" vertical="center" wrapText="1"/>
    </xf>
    <xf numFmtId="0" fontId="17" fillId="11" borderId="0" xfId="3" applyFont="1" applyFill="1" applyAlignment="1">
      <alignment horizontal="left" vertical="center" wrapText="1"/>
    </xf>
    <xf numFmtId="0" fontId="12" fillId="0" borderId="0" xfId="3" applyFont="1" applyAlignment="1">
      <alignment horizontal="center"/>
    </xf>
    <xf numFmtId="0" fontId="1" fillId="0" borderId="0" xfId="3" applyAlignment="1">
      <alignment horizontal="left" vertical="center" wrapText="1" indent="1"/>
    </xf>
    <xf numFmtId="0" fontId="2" fillId="6" borderId="0" xfId="3" applyFont="1" applyFill="1" applyAlignment="1">
      <alignment horizontal="left" vertical="center" wrapText="1" indent="2"/>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7" fillId="0" borderId="8" xfId="3" applyFont="1" applyFill="1" applyBorder="1" applyAlignment="1" applyProtection="1">
      <alignment wrapText="1"/>
    </xf>
    <xf numFmtId="0" fontId="7" fillId="0" borderId="0" xfId="3" applyFont="1" applyFill="1" applyBorder="1" applyAlignment="1" applyProtection="1">
      <alignment wrapText="1"/>
    </xf>
    <xf numFmtId="0" fontId="28" fillId="0" borderId="0" xfId="6" applyFill="1" applyBorder="1" applyAlignment="1" applyProtection="1">
      <alignment vertical="center" textRotation="90" wrapText="1"/>
    </xf>
    <xf numFmtId="0" fontId="1" fillId="12" borderId="50" xfId="0" applyFont="1" applyFill="1" applyBorder="1" applyAlignment="1" applyProtection="1">
      <alignment horizontal="left" vertical="top"/>
    </xf>
    <xf numFmtId="0" fontId="1" fillId="12" borderId="23" xfId="0" applyFont="1" applyFill="1" applyBorder="1" applyAlignment="1" applyProtection="1">
      <alignment horizontal="left" vertical="top"/>
    </xf>
    <xf numFmtId="164" fontId="1" fillId="12" borderId="33" xfId="2" applyNumberFormat="1" applyFont="1" applyFill="1" applyBorder="1" applyProtection="1"/>
    <xf numFmtId="164" fontId="1" fillId="0" borderId="23" xfId="3" applyNumberFormat="1" applyFont="1" applyFill="1" applyBorder="1" applyProtection="1"/>
    <xf numFmtId="164" fontId="1" fillId="6" borderId="29" xfId="3" applyNumberFormat="1" applyFont="1" applyFill="1" applyBorder="1" applyProtection="1"/>
    <xf numFmtId="43" fontId="2" fillId="4" borderId="37" xfId="3" applyNumberFormat="1" applyFont="1" applyFill="1" applyBorder="1" applyAlignment="1" applyProtection="1">
      <alignment horizontal="center"/>
    </xf>
    <xf numFmtId="166" fontId="28" fillId="0" borderId="0" xfId="6" applyNumberFormat="1" applyFill="1" applyAlignment="1" applyProtection="1">
      <alignment textRotation="90"/>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persons/person.xml><?xml version="1.0" encoding="utf-8"?>
<personList xmlns="http://schemas.microsoft.com/office/spreadsheetml/2018/threadedcomments" xmlns:x="http://schemas.openxmlformats.org/spreadsheetml/2006/main">
  <person displayName="LEM_AIMEE" id="{2B739CEE-D88C-4250-A828-CEF392BC1D09}" userId="LEM_AIMEE" providerId="None"/>
  <person displayName="LEM_AIMEE" id="{08BA5EF0-113C-4052-A454-3E42C9D23315}" userId="S::lem_aimee_smc.edu#ext#@smgov.net::f5b855cd-0d6e-4371-ba54-277c7838c3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9" dT="2021-01-25T22:22:17.85" personId="{2B739CEE-D88C-4250-A828-CEF392BC1D09}" id="{65318BC8-EF84-4860-829F-A4F4F04DD360}">
    <text>Data will be collected during year end Spring survey</text>
  </threadedComment>
  <threadedComment ref="H13" dT="2021-01-25T22:21:56.02" personId="{2B739CEE-D88C-4250-A828-CEF392BC1D09}" id="{835A166D-FADD-424B-9011-A828AEB310B8}">
    <text>Data will be collected during year end Spring survey</text>
  </threadedComment>
  <threadedComment ref="I39" dT="2021-01-25T22:18:23.15" personId="{2B739CEE-D88C-4250-A828-CEF392BC1D09}" id="{357B4A2F-D23A-44F8-80A6-A4B28B5A7BE3}">
    <text>Gender Unknown/Prefer Not to State</text>
  </threadedComment>
  <threadedComment ref="L39" dT="2021-07-28T23:18:57.74" personId="{08BA5EF0-113C-4052-A454-3E42C9D23315}" id="{CDC4AC23-70BB-4738-867C-E061E42303DA}">
    <text>Gender unknown/prefer not to state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C36"/>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22" customFormat="1" ht="18" x14ac:dyDescent="0.25">
      <c r="A1" s="285" t="s">
        <v>0</v>
      </c>
      <c r="B1" s="285"/>
      <c r="C1" s="285"/>
    </row>
    <row r="2" spans="1:3" ht="18" x14ac:dyDescent="0.25">
      <c r="A2" s="285" t="s">
        <v>1</v>
      </c>
      <c r="B2" s="285"/>
      <c r="C2" s="285"/>
    </row>
    <row r="3" spans="1:3" s="63" customFormat="1" ht="13.5" thickBot="1" x14ac:dyDescent="0.25">
      <c r="A3" s="1"/>
      <c r="B3" s="1"/>
      <c r="C3" s="1"/>
    </row>
    <row r="4" spans="1:3" s="116" customFormat="1" ht="15.75" thickBot="1" x14ac:dyDescent="0.25">
      <c r="A4" s="121" t="s">
        <v>2</v>
      </c>
      <c r="B4" s="120" t="s">
        <v>3</v>
      </c>
      <c r="C4" s="120" t="s">
        <v>4</v>
      </c>
    </row>
    <row r="5" spans="1:3" s="116" customFormat="1" ht="29.25" thickBot="1" x14ac:dyDescent="0.25">
      <c r="A5" s="119" t="s">
        <v>5</v>
      </c>
      <c r="B5" s="118" t="s">
        <v>6</v>
      </c>
      <c r="C5" s="117">
        <v>44228</v>
      </c>
    </row>
    <row r="6" spans="1:3" s="116" customFormat="1" ht="29.25" thickBot="1" x14ac:dyDescent="0.25">
      <c r="A6" s="119" t="s">
        <v>7</v>
      </c>
      <c r="B6" s="118" t="s">
        <v>8</v>
      </c>
      <c r="C6" s="117">
        <v>44410</v>
      </c>
    </row>
    <row r="7" spans="1:3" s="116" customFormat="1" x14ac:dyDescent="0.2">
      <c r="A7" s="1"/>
      <c r="B7" s="1"/>
      <c r="C7" s="1"/>
    </row>
    <row r="8" spans="1:3" s="116" customFormat="1" ht="17.25" customHeight="1" x14ac:dyDescent="0.2">
      <c r="A8" s="284" t="s">
        <v>9</v>
      </c>
      <c r="B8" s="284"/>
      <c r="C8" s="284"/>
    </row>
    <row r="9" spans="1:3" s="116" customFormat="1" ht="74.25" customHeight="1" x14ac:dyDescent="0.2">
      <c r="A9" s="283" t="s">
        <v>10</v>
      </c>
      <c r="B9" s="283"/>
      <c r="C9" s="283"/>
    </row>
    <row r="10" spans="1:3" s="116" customFormat="1" ht="45.75" customHeight="1" x14ac:dyDescent="0.2">
      <c r="A10" s="283" t="s">
        <v>11</v>
      </c>
      <c r="B10" s="283"/>
      <c r="C10" s="283"/>
    </row>
    <row r="11" spans="1:3" s="116" customFormat="1" ht="57" customHeight="1" x14ac:dyDescent="0.2">
      <c r="A11" s="283" t="s">
        <v>12</v>
      </c>
      <c r="B11" s="283"/>
      <c r="C11" s="283"/>
    </row>
    <row r="12" spans="1:3" s="116" customFormat="1" ht="11.25" customHeight="1" x14ac:dyDescent="0.2">
      <c r="A12" s="283"/>
      <c r="B12" s="283"/>
      <c r="C12" s="283"/>
    </row>
    <row r="13" spans="1:3" s="116" customFormat="1" ht="15" customHeight="1" x14ac:dyDescent="0.2">
      <c r="A13" s="284" t="s">
        <v>13</v>
      </c>
      <c r="B13" s="284"/>
      <c r="C13" s="284"/>
    </row>
    <row r="14" spans="1:3" s="116" customFormat="1" ht="65.25" customHeight="1" x14ac:dyDescent="0.2">
      <c r="A14" s="283" t="s">
        <v>14</v>
      </c>
      <c r="B14" s="283"/>
      <c r="C14" s="283"/>
    </row>
    <row r="15" spans="1:3" s="58" customFormat="1" ht="50.25" customHeight="1" x14ac:dyDescent="0.2">
      <c r="A15" s="283" t="s">
        <v>15</v>
      </c>
      <c r="B15" s="283"/>
      <c r="C15" s="283"/>
    </row>
    <row r="16" spans="1:3" s="116" customFormat="1" x14ac:dyDescent="0.2">
      <c r="A16" s="283"/>
      <c r="B16" s="283"/>
      <c r="C16" s="283"/>
    </row>
    <row r="17" spans="1:3" s="116" customFormat="1" ht="16.5" customHeight="1" x14ac:dyDescent="0.2">
      <c r="A17" s="287" t="s">
        <v>16</v>
      </c>
      <c r="B17" s="287"/>
      <c r="C17" s="287"/>
    </row>
    <row r="18" spans="1:3" s="116" customFormat="1" ht="30.75" customHeight="1" x14ac:dyDescent="0.2">
      <c r="A18" s="286" t="s">
        <v>17</v>
      </c>
      <c r="B18" s="286"/>
      <c r="C18" s="286"/>
    </row>
    <row r="19" spans="1:3" s="116" customFormat="1" ht="30" customHeight="1" x14ac:dyDescent="0.2">
      <c r="A19" s="286" t="s">
        <v>18</v>
      </c>
      <c r="B19" s="286"/>
      <c r="C19" s="286"/>
    </row>
    <row r="20" spans="1:3" s="58" customFormat="1" ht="24.75" customHeight="1" x14ac:dyDescent="0.2">
      <c r="A20" s="286" t="s">
        <v>19</v>
      </c>
      <c r="B20" s="286"/>
      <c r="C20" s="286"/>
    </row>
    <row r="21" spans="1:3" s="116" customFormat="1" ht="30" customHeight="1" x14ac:dyDescent="0.2">
      <c r="A21" s="286" t="s">
        <v>20</v>
      </c>
      <c r="B21" s="286"/>
      <c r="C21" s="286"/>
    </row>
    <row r="22" spans="1:3" s="116" customFormat="1" x14ac:dyDescent="0.2">
      <c r="A22" s="283"/>
      <c r="B22" s="283"/>
      <c r="C22" s="283"/>
    </row>
    <row r="23" spans="1:3" s="116" customFormat="1" ht="12.75" customHeight="1" x14ac:dyDescent="0.2">
      <c r="A23" s="287" t="s">
        <v>21</v>
      </c>
      <c r="B23" s="287"/>
      <c r="C23" s="287"/>
    </row>
    <row r="24" spans="1:3" s="58" customFormat="1" ht="156.75" customHeight="1" x14ac:dyDescent="0.2">
      <c r="A24" s="286" t="s">
        <v>22</v>
      </c>
      <c r="B24" s="286"/>
      <c r="C24" s="286"/>
    </row>
    <row r="25" spans="1:3" s="116" customFormat="1" ht="160.5" customHeight="1" x14ac:dyDescent="0.2">
      <c r="A25" s="286" t="s">
        <v>23</v>
      </c>
      <c r="B25" s="286"/>
      <c r="C25" s="286"/>
    </row>
    <row r="26" spans="1:3" s="116" customFormat="1" x14ac:dyDescent="0.2">
      <c r="A26" s="283"/>
      <c r="B26" s="283"/>
      <c r="C26" s="283"/>
    </row>
    <row r="27" spans="1:3" s="116" customFormat="1" x14ac:dyDescent="0.2">
      <c r="A27" s="287" t="s">
        <v>24</v>
      </c>
      <c r="B27" s="287"/>
      <c r="C27" s="287"/>
    </row>
    <row r="28" spans="1:3" s="116" customFormat="1" ht="54" customHeight="1" x14ac:dyDescent="0.2">
      <c r="A28" s="286" t="s">
        <v>25</v>
      </c>
      <c r="B28" s="286"/>
      <c r="C28" s="286"/>
    </row>
    <row r="29" spans="1:3" ht="55.5" customHeight="1" x14ac:dyDescent="0.2">
      <c r="A29" s="286" t="s">
        <v>26</v>
      </c>
      <c r="B29" s="286"/>
      <c r="C29" s="286"/>
    </row>
    <row r="30" spans="1:3" s="116" customFormat="1" x14ac:dyDescent="0.2">
      <c r="A30" s="283"/>
      <c r="B30" s="283"/>
      <c r="C30" s="283"/>
    </row>
    <row r="31" spans="1:3" s="116" customFormat="1" x14ac:dyDescent="0.2">
      <c r="A31" s="284" t="s">
        <v>27</v>
      </c>
      <c r="B31" s="284"/>
      <c r="C31" s="284"/>
    </row>
    <row r="32" spans="1:3" s="116" customFormat="1" ht="43.5" customHeight="1" x14ac:dyDescent="0.2">
      <c r="A32" s="283" t="s">
        <v>28</v>
      </c>
      <c r="B32" s="283"/>
      <c r="C32" s="283"/>
    </row>
    <row r="33" spans="1:3" s="116" customFormat="1" x14ac:dyDescent="0.2">
      <c r="A33" s="1"/>
      <c r="B33" s="1"/>
      <c r="C33" s="1"/>
    </row>
    <row r="34" spans="1:3" s="116" customFormat="1" x14ac:dyDescent="0.2">
      <c r="A34" s="284" t="s">
        <v>29</v>
      </c>
      <c r="B34" s="284"/>
      <c r="C34" s="284"/>
    </row>
    <row r="35" spans="1:3" s="116" customFormat="1" ht="54" customHeight="1" x14ac:dyDescent="0.2">
      <c r="A35" s="283" t="s">
        <v>30</v>
      </c>
      <c r="B35" s="283"/>
      <c r="C35" s="283"/>
    </row>
    <row r="36" spans="1:3" x14ac:dyDescent="0.2">
      <c r="A36" s="283"/>
      <c r="B36" s="283"/>
      <c r="C36" s="283"/>
    </row>
  </sheetData>
  <sheetProtection algorithmName="SHA-512" hashValue="OhMI7N+WLWfXFWRcxb4f23Zivl/I6HYGvXzwsKiLbzF99gzUboqDdyF9CODUsVVjWEjSMsH0EujWZbDkEl0QUA==" saltValue="fA6l/nrRysncgcWQsKB3Nw==" spinCount="100000" sheet="1" objects="1" scenarios="1"/>
  <mergeCells count="30">
    <mergeCell ref="A36:C36"/>
    <mergeCell ref="A16:C16"/>
    <mergeCell ref="A24:C24"/>
    <mergeCell ref="A25:C25"/>
    <mergeCell ref="A26:C26"/>
    <mergeCell ref="A27:C27"/>
    <mergeCell ref="A17:C17"/>
    <mergeCell ref="A28:C28"/>
    <mergeCell ref="A18:C18"/>
    <mergeCell ref="A19:C19"/>
    <mergeCell ref="A20:C20"/>
    <mergeCell ref="A21:C21"/>
    <mergeCell ref="A22:C22"/>
    <mergeCell ref="A23:C23"/>
    <mergeCell ref="A34:C34"/>
    <mergeCell ref="A35:C35"/>
    <mergeCell ref="A30:C30"/>
    <mergeCell ref="A31:C31"/>
    <mergeCell ref="A32:C32"/>
    <mergeCell ref="A1:C1"/>
    <mergeCell ref="A8:C8"/>
    <mergeCell ref="A9:C9"/>
    <mergeCell ref="A10:C10"/>
    <mergeCell ref="A2:C2"/>
    <mergeCell ref="A11:C11"/>
    <mergeCell ref="A12:C12"/>
    <mergeCell ref="A13:C13"/>
    <mergeCell ref="A14:C14"/>
    <mergeCell ref="A15:C15"/>
    <mergeCell ref="A29:C29"/>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T127"/>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59" hidden="1" customWidth="1" outlineLevel="1"/>
    <col min="2" max="3" width="23.28515625" style="59" hidden="1" customWidth="1" outlineLevel="1"/>
    <col min="4" max="4" width="35" style="59" hidden="1" customWidth="1" outlineLevel="1"/>
    <col min="5" max="5" width="44" style="29" hidden="1" customWidth="1" outlineLevel="1"/>
    <col min="6" max="6" width="33.140625" style="29" customWidth="1" collapsed="1"/>
    <col min="7" max="7" width="36" style="29" customWidth="1"/>
    <col min="8" max="8" width="10.28515625" style="29" customWidth="1"/>
    <col min="9" max="9" width="9.85546875" style="29" customWidth="1"/>
    <col min="10" max="10" width="7.42578125" style="29" customWidth="1"/>
    <col min="11" max="11" width="10" style="29" customWidth="1"/>
    <col min="12" max="14" width="14.85546875" style="29" customWidth="1"/>
    <col min="15" max="17" width="14.42578125" style="29" customWidth="1"/>
    <col min="18" max="18" width="13.85546875" style="28" customWidth="1"/>
    <col min="19" max="19" width="16.7109375" style="27" customWidth="1"/>
    <col min="20" max="16384" width="8.85546875" style="43"/>
  </cols>
  <sheetData>
    <row r="1" spans="1:19" ht="168.75" hidden="1" outlineLevel="1" x14ac:dyDescent="0.2">
      <c r="A1" s="52" t="s">
        <v>31</v>
      </c>
      <c r="B1" s="52" t="s">
        <v>32</v>
      </c>
      <c r="C1" s="52" t="s">
        <v>33</v>
      </c>
      <c r="D1" s="52" t="s">
        <v>34</v>
      </c>
      <c r="E1" s="96" t="s">
        <v>35</v>
      </c>
      <c r="F1" s="56" t="s">
        <v>36</v>
      </c>
      <c r="G1" s="56" t="s">
        <v>37</v>
      </c>
      <c r="H1" s="55" t="s">
        <v>38</v>
      </c>
      <c r="I1" s="55" t="s">
        <v>39</v>
      </c>
      <c r="J1" s="55" t="s">
        <v>40</v>
      </c>
      <c r="K1" s="55" t="s">
        <v>41</v>
      </c>
      <c r="L1" s="55" t="s">
        <v>42</v>
      </c>
      <c r="M1" s="55" t="s">
        <v>43</v>
      </c>
      <c r="N1" s="55" t="s">
        <v>44</v>
      </c>
      <c r="O1" s="55" t="s">
        <v>45</v>
      </c>
      <c r="P1" s="55" t="s">
        <v>46</v>
      </c>
      <c r="Q1" s="55" t="s">
        <v>47</v>
      </c>
      <c r="R1" s="54" t="s">
        <v>48</v>
      </c>
      <c r="S1" s="53" t="s">
        <v>49</v>
      </c>
    </row>
    <row r="2" spans="1:19" ht="18" collapsed="1" x14ac:dyDescent="0.25">
      <c r="A2" s="52"/>
      <c r="B2" s="52"/>
      <c r="C2" s="52"/>
      <c r="D2" s="52"/>
      <c r="E2" s="96"/>
      <c r="F2" s="90" t="s">
        <v>50</v>
      </c>
      <c r="G2" s="56"/>
      <c r="H2" s="55"/>
      <c r="I2" s="55"/>
      <c r="J2" s="55"/>
      <c r="K2" s="55"/>
      <c r="L2" s="55"/>
      <c r="M2" s="55"/>
      <c r="N2" s="55"/>
      <c r="O2" s="55"/>
      <c r="P2" s="55"/>
      <c r="Q2" s="55"/>
      <c r="R2" s="54"/>
      <c r="S2" s="299"/>
    </row>
    <row r="3" spans="1:19" ht="18" x14ac:dyDescent="0.2">
      <c r="A3" s="52"/>
      <c r="B3" s="52"/>
      <c r="C3" s="52"/>
      <c r="D3" s="52"/>
      <c r="E3" s="96"/>
      <c r="F3" s="266" t="s">
        <v>51</v>
      </c>
      <c r="G3" s="56"/>
      <c r="H3" s="55"/>
      <c r="I3" s="55"/>
      <c r="J3" s="55"/>
      <c r="K3" s="55"/>
      <c r="L3" s="55"/>
      <c r="M3" s="55"/>
      <c r="N3" s="55"/>
      <c r="O3" s="55"/>
      <c r="P3" s="55"/>
      <c r="Q3" s="55"/>
      <c r="R3" s="54"/>
      <c r="S3" s="53"/>
    </row>
    <row r="4" spans="1:19" ht="13.5" thickBot="1" x14ac:dyDescent="0.25">
      <c r="A4" s="52"/>
      <c r="B4" s="52"/>
      <c r="C4" s="52"/>
      <c r="D4" s="52"/>
      <c r="E4" s="96"/>
      <c r="F4" s="56"/>
      <c r="G4" s="56"/>
      <c r="H4" s="55"/>
      <c r="I4" s="55"/>
      <c r="J4" s="55"/>
      <c r="K4" s="55"/>
      <c r="L4" s="55"/>
      <c r="M4" s="55"/>
      <c r="N4" s="55"/>
      <c r="O4" s="55"/>
      <c r="P4" s="55"/>
      <c r="Q4" s="55"/>
      <c r="R4" s="54"/>
      <c r="S4" s="53"/>
    </row>
    <row r="5" spans="1:19" ht="13.5" thickBot="1" x14ac:dyDescent="0.25">
      <c r="E5" s="43"/>
      <c r="F5" s="26" t="s">
        <v>52</v>
      </c>
      <c r="G5" s="25"/>
      <c r="H5" s="25"/>
      <c r="I5" s="25"/>
      <c r="J5" s="25"/>
      <c r="K5" s="25"/>
      <c r="L5" s="25"/>
      <c r="M5" s="25"/>
      <c r="N5" s="25"/>
      <c r="O5" s="25"/>
      <c r="P5" s="25"/>
      <c r="Q5" s="25"/>
      <c r="R5" s="196"/>
      <c r="S5" s="24"/>
    </row>
    <row r="6" spans="1:19" ht="33.75" x14ac:dyDescent="0.2">
      <c r="A6" s="59" t="str">
        <f t="shared" ref="A6:A17" si="0">$G$7</f>
        <v>Santa Monica College</v>
      </c>
      <c r="B6" s="59" t="str">
        <f t="shared" ref="B6:B17" si="1">$G$8</f>
        <v>Pico Partnership</v>
      </c>
      <c r="F6" s="189"/>
      <c r="G6" s="98"/>
      <c r="H6" s="43"/>
      <c r="I6" s="43"/>
      <c r="J6" s="43"/>
      <c r="K6" s="43"/>
      <c r="L6" s="51" t="s">
        <v>53</v>
      </c>
      <c r="M6" s="51" t="s">
        <v>54</v>
      </c>
      <c r="N6" s="51" t="s">
        <v>55</v>
      </c>
      <c r="O6" s="51" t="s">
        <v>56</v>
      </c>
      <c r="P6" s="51" t="s">
        <v>57</v>
      </c>
      <c r="Q6" s="51" t="s">
        <v>58</v>
      </c>
      <c r="R6" s="64" t="s">
        <v>59</v>
      </c>
      <c r="S6" s="65" t="s">
        <v>60</v>
      </c>
    </row>
    <row r="7" spans="1:19" x14ac:dyDescent="0.2">
      <c r="A7" s="59" t="str">
        <f t="shared" si="0"/>
        <v>Santa Monica College</v>
      </c>
      <c r="B7" s="59" t="str">
        <f t="shared" si="1"/>
        <v>Pico Partnership</v>
      </c>
      <c r="D7" s="59" t="s">
        <v>52</v>
      </c>
      <c r="E7" s="43" t="s">
        <v>61</v>
      </c>
      <c r="F7" s="267" t="s">
        <v>62</v>
      </c>
      <c r="G7" s="229" t="s">
        <v>63</v>
      </c>
      <c r="H7" s="43"/>
      <c r="I7" s="43" t="s">
        <v>61</v>
      </c>
      <c r="J7" s="43"/>
      <c r="K7" s="43"/>
      <c r="L7" s="49">
        <f t="shared" ref="L7:M7" si="2">L38</f>
        <v>158300</v>
      </c>
      <c r="M7" s="49">
        <f t="shared" si="2"/>
        <v>96647</v>
      </c>
      <c r="N7" s="49">
        <f>L7-M7</f>
        <v>61653</v>
      </c>
      <c r="O7" s="49">
        <f t="shared" ref="O7:P7" si="3">O38</f>
        <v>46028.740000000005</v>
      </c>
      <c r="P7" s="49">
        <f t="shared" si="3"/>
        <v>50730.28</v>
      </c>
      <c r="Q7" s="49">
        <f>Q38</f>
        <v>96759.02</v>
      </c>
      <c r="R7" s="48">
        <f t="shared" ref="R7:R18" si="4">IFERROR(Q7/M7,"N/A")</f>
        <v>1.0011590633956564</v>
      </c>
      <c r="S7" s="183">
        <f>S38</f>
        <v>158266</v>
      </c>
    </row>
    <row r="8" spans="1:19" x14ac:dyDescent="0.2">
      <c r="A8" s="59" t="str">
        <f t="shared" si="0"/>
        <v>Santa Monica College</v>
      </c>
      <c r="B8" s="59" t="str">
        <f t="shared" si="1"/>
        <v>Pico Partnership</v>
      </c>
      <c r="D8" s="59" t="s">
        <v>52</v>
      </c>
      <c r="E8" s="43" t="s">
        <v>64</v>
      </c>
      <c r="F8" s="267" t="s">
        <v>65</v>
      </c>
      <c r="G8" s="230" t="s">
        <v>66</v>
      </c>
      <c r="H8" s="43"/>
      <c r="I8" s="43" t="s">
        <v>64</v>
      </c>
      <c r="J8" s="43"/>
      <c r="K8" s="43"/>
      <c r="L8" s="49">
        <f t="shared" ref="L8:M8" si="5">L45</f>
        <v>58017</v>
      </c>
      <c r="M8" s="49">
        <f t="shared" si="5"/>
        <v>28463</v>
      </c>
      <c r="N8" s="49">
        <f t="shared" ref="N8:N17" si="6">L8-M8</f>
        <v>29554</v>
      </c>
      <c r="O8" s="49">
        <f>O45</f>
        <v>16725.599999999999</v>
      </c>
      <c r="P8" s="49">
        <f>P45</f>
        <v>11873.589999999998</v>
      </c>
      <c r="Q8" s="49">
        <f>Q45</f>
        <v>28599.189999999995</v>
      </c>
      <c r="R8" s="48">
        <f t="shared" si="4"/>
        <v>1.0047848083476794</v>
      </c>
      <c r="S8" s="183">
        <f>S45</f>
        <v>55730</v>
      </c>
    </row>
    <row r="9" spans="1:19" x14ac:dyDescent="0.2">
      <c r="A9" s="59" t="str">
        <f t="shared" si="0"/>
        <v>Santa Monica College</v>
      </c>
      <c r="B9" s="59" t="str">
        <f t="shared" si="1"/>
        <v>Pico Partnership</v>
      </c>
      <c r="D9" s="59" t="s">
        <v>52</v>
      </c>
      <c r="E9" s="43" t="s">
        <v>67</v>
      </c>
      <c r="F9" s="182"/>
      <c r="G9" s="43"/>
      <c r="H9" s="43"/>
      <c r="I9" s="43" t="s">
        <v>67</v>
      </c>
      <c r="J9" s="43"/>
      <c r="K9" s="43"/>
      <c r="L9" s="49">
        <f t="shared" ref="L9:M9" si="7">L53</f>
        <v>0</v>
      </c>
      <c r="M9" s="49">
        <f t="shared" si="7"/>
        <v>0</v>
      </c>
      <c r="N9" s="49">
        <f t="shared" si="6"/>
        <v>0</v>
      </c>
      <c r="O9" s="49">
        <f>O53</f>
        <v>0</v>
      </c>
      <c r="P9" s="49">
        <f>P53</f>
        <v>0</v>
      </c>
      <c r="Q9" s="49">
        <f>Q53</f>
        <v>0</v>
      </c>
      <c r="R9" s="48" t="str">
        <f t="shared" si="4"/>
        <v>N/A</v>
      </c>
      <c r="S9" s="183">
        <f>S53</f>
        <v>0</v>
      </c>
    </row>
    <row r="10" spans="1:19" x14ac:dyDescent="0.2">
      <c r="A10" s="59" t="str">
        <f t="shared" si="0"/>
        <v>Santa Monica College</v>
      </c>
      <c r="B10" s="59" t="str">
        <f t="shared" si="1"/>
        <v>Pico Partnership</v>
      </c>
      <c r="D10" s="59" t="s">
        <v>52</v>
      </c>
      <c r="E10" s="43" t="s">
        <v>68</v>
      </c>
      <c r="F10" s="182"/>
      <c r="G10" s="43"/>
      <c r="H10" s="43"/>
      <c r="I10" s="43" t="s">
        <v>68</v>
      </c>
      <c r="J10" s="43"/>
      <c r="K10" s="43"/>
      <c r="L10" s="49">
        <f t="shared" ref="L10:M10" si="8">L60</f>
        <v>0</v>
      </c>
      <c r="M10" s="49">
        <f t="shared" si="8"/>
        <v>0</v>
      </c>
      <c r="N10" s="49">
        <f t="shared" si="6"/>
        <v>0</v>
      </c>
      <c r="O10" s="49">
        <f>O60</f>
        <v>0</v>
      </c>
      <c r="P10" s="49">
        <f>P60</f>
        <v>0</v>
      </c>
      <c r="Q10" s="49">
        <f>Q60</f>
        <v>0</v>
      </c>
      <c r="R10" s="48" t="str">
        <f t="shared" si="4"/>
        <v>N/A</v>
      </c>
      <c r="S10" s="183">
        <f>S60</f>
        <v>0</v>
      </c>
    </row>
    <row r="11" spans="1:19" x14ac:dyDescent="0.2">
      <c r="A11" s="59" t="str">
        <f t="shared" si="0"/>
        <v>Santa Monica College</v>
      </c>
      <c r="B11" s="59" t="str">
        <f t="shared" si="1"/>
        <v>Pico Partnership</v>
      </c>
      <c r="D11" s="59" t="s">
        <v>52</v>
      </c>
      <c r="E11" s="43" t="s">
        <v>69</v>
      </c>
      <c r="F11" s="37" t="s">
        <v>70</v>
      </c>
      <c r="G11" s="268" t="s">
        <v>71</v>
      </c>
      <c r="H11" s="43"/>
      <c r="I11" s="43" t="s">
        <v>69</v>
      </c>
      <c r="J11" s="43"/>
      <c r="K11" s="43"/>
      <c r="L11" s="49">
        <f t="shared" ref="L11:M11" si="9">L67</f>
        <v>0</v>
      </c>
      <c r="M11" s="49">
        <f t="shared" si="9"/>
        <v>0</v>
      </c>
      <c r="N11" s="49">
        <f t="shared" si="6"/>
        <v>0</v>
      </c>
      <c r="O11" s="49">
        <f>O67</f>
        <v>0</v>
      </c>
      <c r="P11" s="49">
        <f>P67</f>
        <v>0</v>
      </c>
      <c r="Q11" s="49">
        <f>Q67</f>
        <v>0</v>
      </c>
      <c r="R11" s="48" t="str">
        <f t="shared" si="4"/>
        <v>N/A</v>
      </c>
      <c r="S11" s="183">
        <f>S67</f>
        <v>0</v>
      </c>
    </row>
    <row r="12" spans="1:19" x14ac:dyDescent="0.2">
      <c r="A12" s="59" t="str">
        <f t="shared" si="0"/>
        <v>Santa Monica College</v>
      </c>
      <c r="B12" s="59" t="str">
        <f t="shared" si="1"/>
        <v>Pico Partnership</v>
      </c>
      <c r="D12" s="59" t="s">
        <v>52</v>
      </c>
      <c r="E12" s="43" t="s">
        <v>72</v>
      </c>
      <c r="F12" s="182"/>
      <c r="G12" s="43"/>
      <c r="H12" s="43"/>
      <c r="I12" s="43" t="s">
        <v>72</v>
      </c>
      <c r="J12" s="43"/>
      <c r="K12" s="43"/>
      <c r="L12" s="49">
        <f t="shared" ref="L12:M12" si="10">L74</f>
        <v>0</v>
      </c>
      <c r="M12" s="49">
        <f t="shared" si="10"/>
        <v>0</v>
      </c>
      <c r="N12" s="49">
        <f t="shared" si="6"/>
        <v>0</v>
      </c>
      <c r="O12" s="49">
        <f>O74</f>
        <v>0</v>
      </c>
      <c r="P12" s="49">
        <f>P74</f>
        <v>0</v>
      </c>
      <c r="Q12" s="49">
        <f>Q74</f>
        <v>0</v>
      </c>
      <c r="R12" s="48" t="str">
        <f t="shared" si="4"/>
        <v>N/A</v>
      </c>
      <c r="S12" s="183">
        <f>S74</f>
        <v>0</v>
      </c>
    </row>
    <row r="13" spans="1:19" x14ac:dyDescent="0.2">
      <c r="A13" s="59" t="str">
        <f t="shared" si="0"/>
        <v>Santa Monica College</v>
      </c>
      <c r="B13" s="59" t="str">
        <f t="shared" si="1"/>
        <v>Pico Partnership</v>
      </c>
      <c r="D13" s="59" t="s">
        <v>52</v>
      </c>
      <c r="E13" s="43" t="s">
        <v>73</v>
      </c>
      <c r="F13" s="182"/>
      <c r="G13" s="43"/>
      <c r="H13" s="43"/>
      <c r="I13" s="43" t="s">
        <v>73</v>
      </c>
      <c r="J13" s="43"/>
      <c r="K13" s="43"/>
      <c r="L13" s="49">
        <f t="shared" ref="L13:M13" si="11">L81</f>
        <v>0</v>
      </c>
      <c r="M13" s="49">
        <f t="shared" si="11"/>
        <v>0</v>
      </c>
      <c r="N13" s="49">
        <f t="shared" si="6"/>
        <v>0</v>
      </c>
      <c r="O13" s="49">
        <f>O81</f>
        <v>0</v>
      </c>
      <c r="P13" s="49">
        <f>P81</f>
        <v>0</v>
      </c>
      <c r="Q13" s="49">
        <f>Q81</f>
        <v>0</v>
      </c>
      <c r="R13" s="48" t="str">
        <f t="shared" si="4"/>
        <v>N/A</v>
      </c>
      <c r="S13" s="183">
        <f>S81</f>
        <v>0</v>
      </c>
    </row>
    <row r="14" spans="1:19" x14ac:dyDescent="0.2">
      <c r="A14" s="59" t="str">
        <f t="shared" si="0"/>
        <v>Santa Monica College</v>
      </c>
      <c r="B14" s="59" t="str">
        <f t="shared" si="1"/>
        <v>Pico Partnership</v>
      </c>
      <c r="D14" s="59" t="s">
        <v>52</v>
      </c>
      <c r="E14" s="43" t="s">
        <v>74</v>
      </c>
      <c r="F14" s="182" t="s">
        <v>75</v>
      </c>
      <c r="G14" s="269">
        <v>133110</v>
      </c>
      <c r="H14" s="43"/>
      <c r="I14" s="43" t="s">
        <v>74</v>
      </c>
      <c r="J14" s="43"/>
      <c r="K14" s="43"/>
      <c r="L14" s="49">
        <f t="shared" ref="L14:M14" si="12">L88</f>
        <v>0</v>
      </c>
      <c r="M14" s="49">
        <f t="shared" si="12"/>
        <v>0</v>
      </c>
      <c r="N14" s="49">
        <f t="shared" si="6"/>
        <v>0</v>
      </c>
      <c r="O14" s="49">
        <f>O88</f>
        <v>0</v>
      </c>
      <c r="P14" s="49">
        <f>P88</f>
        <v>0</v>
      </c>
      <c r="Q14" s="49">
        <f>Q88</f>
        <v>0</v>
      </c>
      <c r="R14" s="48" t="str">
        <f t="shared" si="4"/>
        <v>N/A</v>
      </c>
      <c r="S14" s="183">
        <f>S88</f>
        <v>0</v>
      </c>
    </row>
    <row r="15" spans="1:19" x14ac:dyDescent="0.2">
      <c r="A15" s="59" t="str">
        <f t="shared" si="0"/>
        <v>Santa Monica College</v>
      </c>
      <c r="B15" s="59" t="str">
        <f t="shared" si="1"/>
        <v>Pico Partnership</v>
      </c>
      <c r="D15" s="59" t="s">
        <v>52</v>
      </c>
      <c r="E15" s="43" t="s">
        <v>76</v>
      </c>
      <c r="F15" s="182" t="s">
        <v>77</v>
      </c>
      <c r="G15" s="270">
        <v>133110</v>
      </c>
      <c r="H15" s="43"/>
      <c r="I15" s="43" t="s">
        <v>76</v>
      </c>
      <c r="J15" s="43"/>
      <c r="K15" s="43"/>
      <c r="L15" s="49">
        <f t="shared" ref="L15:M15" si="13">L95</f>
        <v>7000</v>
      </c>
      <c r="M15" s="49">
        <f t="shared" si="13"/>
        <v>6500</v>
      </c>
      <c r="N15" s="49">
        <f t="shared" si="6"/>
        <v>500</v>
      </c>
      <c r="O15" s="49">
        <f>O95</f>
        <v>949.21</v>
      </c>
      <c r="P15" s="49">
        <f>P95</f>
        <v>5302.58</v>
      </c>
      <c r="Q15" s="49">
        <f>Q95</f>
        <v>6251.79</v>
      </c>
      <c r="R15" s="48">
        <f t="shared" si="4"/>
        <v>0.96181384615384613</v>
      </c>
      <c r="S15" s="183">
        <f>S95</f>
        <v>6252</v>
      </c>
    </row>
    <row r="16" spans="1:19" x14ac:dyDescent="0.2">
      <c r="A16" s="59" t="str">
        <f t="shared" si="0"/>
        <v>Santa Monica College</v>
      </c>
      <c r="B16" s="59" t="str">
        <f t="shared" si="1"/>
        <v>Pico Partnership</v>
      </c>
      <c r="D16" s="59" t="s">
        <v>52</v>
      </c>
      <c r="E16" s="43" t="s">
        <v>78</v>
      </c>
      <c r="F16" s="182" t="s">
        <v>79</v>
      </c>
      <c r="G16" s="270">
        <f>G14-G15</f>
        <v>0</v>
      </c>
      <c r="H16" s="43"/>
      <c r="I16" s="43" t="s">
        <v>78</v>
      </c>
      <c r="J16" s="43"/>
      <c r="K16" s="43"/>
      <c r="L16" s="49">
        <f t="shared" ref="L16:M16" si="14">L103</f>
        <v>1825</v>
      </c>
      <c r="M16" s="49">
        <f t="shared" si="14"/>
        <v>1500</v>
      </c>
      <c r="N16" s="49">
        <f t="shared" si="6"/>
        <v>325</v>
      </c>
      <c r="O16" s="49">
        <f>O103</f>
        <v>500</v>
      </c>
      <c r="P16" s="49">
        <f>P103</f>
        <v>1000</v>
      </c>
      <c r="Q16" s="49">
        <f>Q103</f>
        <v>1500</v>
      </c>
      <c r="R16" s="48">
        <f t="shared" si="4"/>
        <v>1</v>
      </c>
      <c r="S16" s="183">
        <f>S103</f>
        <v>1750.99</v>
      </c>
    </row>
    <row r="17" spans="1:20" x14ac:dyDescent="0.2">
      <c r="A17" s="59" t="str">
        <f t="shared" si="0"/>
        <v>Santa Monica College</v>
      </c>
      <c r="B17" s="59" t="str">
        <f t="shared" si="1"/>
        <v>Pico Partnership</v>
      </c>
      <c r="D17" s="59" t="s">
        <v>52</v>
      </c>
      <c r="E17" s="43" t="s">
        <v>80</v>
      </c>
      <c r="F17" s="182"/>
      <c r="G17" s="43"/>
      <c r="H17" s="43"/>
      <c r="I17" s="43" t="s">
        <v>80</v>
      </c>
      <c r="J17" s="43"/>
      <c r="K17" s="43"/>
      <c r="L17" s="49">
        <f t="shared" ref="L17:M17" si="15">L112</f>
        <v>0</v>
      </c>
      <c r="M17" s="49">
        <f t="shared" si="15"/>
        <v>0</v>
      </c>
      <c r="N17" s="49">
        <f t="shared" si="6"/>
        <v>0</v>
      </c>
      <c r="O17" s="49">
        <f>O112</f>
        <v>0</v>
      </c>
      <c r="P17" s="49">
        <f>P112</f>
        <v>0</v>
      </c>
      <c r="Q17" s="49">
        <f>Q112</f>
        <v>0</v>
      </c>
      <c r="R17" s="48" t="str">
        <f t="shared" si="4"/>
        <v>N/A</v>
      </c>
      <c r="S17" s="183">
        <f>S112</f>
        <v>0</v>
      </c>
    </row>
    <row r="18" spans="1:20" ht="13.5" thickBot="1" x14ac:dyDescent="0.25">
      <c r="E18" s="43"/>
      <c r="F18" s="184"/>
      <c r="G18" s="185"/>
      <c r="H18" s="66"/>
      <c r="I18" s="185" t="s">
        <v>81</v>
      </c>
      <c r="J18" s="185"/>
      <c r="K18" s="185"/>
      <c r="L18" s="186">
        <f t="shared" ref="L18:Q18" si="16">SUM(L7:L17)</f>
        <v>225142</v>
      </c>
      <c r="M18" s="186">
        <f t="shared" si="16"/>
        <v>133110</v>
      </c>
      <c r="N18" s="186">
        <f t="shared" si="16"/>
        <v>92032</v>
      </c>
      <c r="O18" s="186">
        <f t="shared" si="16"/>
        <v>64203.55</v>
      </c>
      <c r="P18" s="186">
        <f t="shared" si="16"/>
        <v>68906.45</v>
      </c>
      <c r="Q18" s="186">
        <f t="shared" si="16"/>
        <v>133110</v>
      </c>
      <c r="R18" s="187">
        <f t="shared" si="4"/>
        <v>1</v>
      </c>
      <c r="S18" s="188">
        <f>SUM(S7:S17)</f>
        <v>221998.99</v>
      </c>
    </row>
    <row r="19" spans="1:20" ht="13.5" thickBot="1" x14ac:dyDescent="0.25">
      <c r="E19" s="43"/>
      <c r="F19" s="36"/>
      <c r="G19" s="43"/>
      <c r="H19" s="43"/>
      <c r="I19" s="36"/>
      <c r="J19" s="36"/>
      <c r="K19" s="36"/>
      <c r="L19" s="124"/>
      <c r="M19" s="124"/>
      <c r="N19" s="124"/>
      <c r="O19" s="124"/>
      <c r="P19" s="124"/>
      <c r="Q19" s="124"/>
      <c r="R19" s="105"/>
      <c r="S19" s="124"/>
    </row>
    <row r="20" spans="1:20" ht="13.5" hidden="1" thickBot="1" x14ac:dyDescent="0.25">
      <c r="E20" s="43"/>
      <c r="F20" s="43" t="s">
        <v>82</v>
      </c>
      <c r="G20" s="43"/>
      <c r="H20" s="43"/>
      <c r="I20" s="36"/>
      <c r="J20" s="36"/>
      <c r="K20" s="36"/>
      <c r="L20" s="124"/>
      <c r="M20" s="124"/>
      <c r="N20" s="124"/>
      <c r="O20" s="124"/>
      <c r="P20" s="124"/>
      <c r="Q20" s="124"/>
      <c r="R20" s="105"/>
      <c r="S20" s="124"/>
    </row>
    <row r="21" spans="1:20" ht="13.5" hidden="1" thickBot="1" x14ac:dyDescent="0.25">
      <c r="E21" s="43"/>
      <c r="F21" s="182" t="s">
        <v>83</v>
      </c>
      <c r="G21" s="43"/>
      <c r="H21" s="43"/>
      <c r="I21" s="36"/>
      <c r="J21" s="36"/>
      <c r="K21" s="36"/>
      <c r="L21" s="124"/>
      <c r="M21" s="124"/>
      <c r="N21" s="124"/>
      <c r="O21" s="124"/>
      <c r="P21" s="124"/>
      <c r="Q21" s="124"/>
      <c r="R21" s="105"/>
      <c r="S21" s="124"/>
    </row>
    <row r="22" spans="1:20" ht="13.5" hidden="1" thickBot="1" x14ac:dyDescent="0.25">
      <c r="F22" s="182" t="s">
        <v>71</v>
      </c>
      <c r="G22" s="43"/>
      <c r="H22" s="43"/>
      <c r="I22" s="43"/>
      <c r="J22" s="43"/>
      <c r="K22" s="43"/>
    </row>
    <row r="23" spans="1:20" ht="13.5" thickBot="1" x14ac:dyDescent="0.25">
      <c r="E23" s="43"/>
      <c r="F23" s="26" t="s">
        <v>84</v>
      </c>
      <c r="G23" s="25"/>
      <c r="H23" s="25"/>
      <c r="I23" s="25"/>
      <c r="J23" s="25"/>
      <c r="K23" s="25"/>
      <c r="L23" s="25"/>
      <c r="M23" s="25"/>
      <c r="N23" s="25"/>
      <c r="O23" s="25"/>
      <c r="P23" s="25"/>
      <c r="Q23" s="25"/>
      <c r="R23" s="196"/>
      <c r="S23" s="24"/>
    </row>
    <row r="24" spans="1:20" ht="13.5" thickBot="1" x14ac:dyDescent="0.25">
      <c r="F24" s="43"/>
      <c r="G24" s="43"/>
      <c r="H24" s="43"/>
      <c r="I24" s="43"/>
      <c r="J24" s="43"/>
      <c r="K24" s="43"/>
    </row>
    <row r="25" spans="1:20" x14ac:dyDescent="0.2">
      <c r="F25" s="23" t="s">
        <v>85</v>
      </c>
      <c r="G25" s="18"/>
      <c r="H25" s="18"/>
      <c r="I25" s="18"/>
      <c r="J25" s="18"/>
      <c r="K25" s="17"/>
      <c r="L25" s="16"/>
      <c r="M25" s="16"/>
      <c r="N25" s="16"/>
      <c r="O25" s="16"/>
      <c r="P25" s="16"/>
      <c r="Q25" s="16"/>
      <c r="R25" s="15"/>
      <c r="S25" s="14"/>
    </row>
    <row r="26" spans="1:20" s="82" customFormat="1" ht="11.25" x14ac:dyDescent="0.2">
      <c r="A26" s="77"/>
      <c r="B26" s="77"/>
      <c r="C26" s="77"/>
      <c r="D26" s="77"/>
      <c r="E26" s="86"/>
      <c r="F26" s="78" t="s">
        <v>86</v>
      </c>
      <c r="G26" s="88"/>
      <c r="H26" s="88"/>
      <c r="I26" s="88"/>
      <c r="J26" s="88"/>
      <c r="K26" s="80"/>
      <c r="L26" s="22"/>
      <c r="M26" s="22"/>
      <c r="N26" s="22"/>
      <c r="O26" s="22"/>
      <c r="P26" s="22"/>
      <c r="Q26" s="22"/>
      <c r="R26" s="21"/>
      <c r="S26" s="20"/>
    </row>
    <row r="27" spans="1:20" s="82" customFormat="1" ht="33.75" x14ac:dyDescent="0.2">
      <c r="A27" s="59"/>
      <c r="B27" s="59"/>
      <c r="C27" s="77"/>
      <c r="D27" s="89"/>
      <c r="E27" s="86"/>
      <c r="F27" s="290" t="s">
        <v>87</v>
      </c>
      <c r="G27" s="291" t="s">
        <v>88</v>
      </c>
      <c r="H27" s="51" t="s">
        <v>38</v>
      </c>
      <c r="I27" s="51" t="s">
        <v>39</v>
      </c>
      <c r="J27" s="51" t="s">
        <v>40</v>
      </c>
      <c r="K27" s="51" t="s">
        <v>233</v>
      </c>
      <c r="L27" s="51" t="s">
        <v>53</v>
      </c>
      <c r="M27" s="51" t="s">
        <v>54</v>
      </c>
      <c r="N27" s="51" t="s">
        <v>55</v>
      </c>
      <c r="O27" s="51" t="s">
        <v>56</v>
      </c>
      <c r="P27" s="51" t="s">
        <v>57</v>
      </c>
      <c r="Q27" s="51" t="s">
        <v>58</v>
      </c>
      <c r="R27" s="64" t="s">
        <v>59</v>
      </c>
      <c r="S27" s="65" t="s">
        <v>60</v>
      </c>
    </row>
    <row r="28" spans="1:20" hidden="1" outlineLevel="1" x14ac:dyDescent="0.2">
      <c r="A28" s="59" t="str">
        <f>$G$7</f>
        <v>Santa Monica College</v>
      </c>
      <c r="B28" s="59" t="str">
        <f>$G$8</f>
        <v>Pico Partnership</v>
      </c>
      <c r="D28" s="59" t="s">
        <v>84</v>
      </c>
      <c r="E28" s="29" t="s">
        <v>85</v>
      </c>
      <c r="F28" s="241" t="s">
        <v>89</v>
      </c>
      <c r="G28" s="221" t="s">
        <v>90</v>
      </c>
      <c r="H28" s="222">
        <v>1</v>
      </c>
      <c r="I28" s="223">
        <v>12565</v>
      </c>
      <c r="J28" s="222">
        <f>H28*K28</f>
        <v>0.04</v>
      </c>
      <c r="K28" s="224">
        <v>0.04</v>
      </c>
      <c r="L28" s="220">
        <v>0</v>
      </c>
      <c r="M28" s="220">
        <v>0</v>
      </c>
      <c r="N28" s="211">
        <f>L28-M28</f>
        <v>0</v>
      </c>
      <c r="O28" s="271">
        <v>0</v>
      </c>
      <c r="P28" s="271"/>
      <c r="Q28" s="50">
        <f>SUM(O28:P28)</f>
        <v>0</v>
      </c>
      <c r="R28" s="48" t="str">
        <f>IFERROR(Q28/M28,"N/A")</f>
        <v>N/A</v>
      </c>
      <c r="S28" s="272">
        <v>0</v>
      </c>
      <c r="T28" s="43" t="s">
        <v>91</v>
      </c>
    </row>
    <row r="29" spans="1:20" collapsed="1" x14ac:dyDescent="0.2">
      <c r="F29" s="241"/>
      <c r="G29" s="221" t="s">
        <v>91</v>
      </c>
      <c r="H29" s="222"/>
      <c r="I29" s="223"/>
      <c r="J29" s="222"/>
      <c r="K29" s="222">
        <f>SUM(J28)</f>
        <v>0.04</v>
      </c>
      <c r="L29" s="220">
        <f>SUM(L28)</f>
        <v>0</v>
      </c>
      <c r="M29" s="220">
        <f t="shared" ref="M29:Q29" si="17">SUM(M28)</f>
        <v>0</v>
      </c>
      <c r="N29" s="219">
        <f t="shared" si="17"/>
        <v>0</v>
      </c>
      <c r="O29" s="271">
        <f t="shared" si="17"/>
        <v>0</v>
      </c>
      <c r="P29" s="271">
        <f t="shared" si="17"/>
        <v>0</v>
      </c>
      <c r="Q29" s="50">
        <f t="shared" si="17"/>
        <v>0</v>
      </c>
      <c r="R29" s="48" t="str">
        <f>IFERROR(Q29/M29,"N/A")</f>
        <v>N/A</v>
      </c>
      <c r="S29" s="272">
        <f>SUM(S28)</f>
        <v>0</v>
      </c>
    </row>
    <row r="30" spans="1:20" hidden="1" outlineLevel="1" x14ac:dyDescent="0.2">
      <c r="A30" s="59" t="str">
        <f>$G$7</f>
        <v>Santa Monica College</v>
      </c>
      <c r="B30" s="59" t="str">
        <f>$G$8</f>
        <v>Pico Partnership</v>
      </c>
      <c r="D30" s="59" t="s">
        <v>84</v>
      </c>
      <c r="E30" s="29" t="s">
        <v>85</v>
      </c>
      <c r="F30" s="241" t="s">
        <v>92</v>
      </c>
      <c r="G30" s="221" t="s">
        <v>93</v>
      </c>
      <c r="H30" s="222">
        <v>0.5</v>
      </c>
      <c r="I30" s="223">
        <v>3789.3333333333335</v>
      </c>
      <c r="J30" s="222">
        <f t="shared" ref="J30:J35" si="18">H30*K30</f>
        <v>0.5</v>
      </c>
      <c r="K30" s="224">
        <v>1</v>
      </c>
      <c r="L30" s="220">
        <v>45472</v>
      </c>
      <c r="M30" s="220">
        <v>45472</v>
      </c>
      <c r="N30" s="219">
        <f>L30-M30</f>
        <v>0</v>
      </c>
      <c r="O30" s="271">
        <v>18380.310000000001</v>
      </c>
      <c r="P30" s="273">
        <v>26357.57</v>
      </c>
      <c r="Q30" s="50">
        <f>SUM(O30:P30)</f>
        <v>44737.880000000005</v>
      </c>
      <c r="R30" s="48">
        <f>IFERROR(Q30/M30,"N/A")</f>
        <v>0.98385555946516545</v>
      </c>
      <c r="S30" s="272">
        <v>44738</v>
      </c>
      <c r="T30" s="43" t="s">
        <v>94</v>
      </c>
    </row>
    <row r="31" spans="1:20" hidden="1" outlineLevel="1" x14ac:dyDescent="0.2">
      <c r="A31" s="59" t="str">
        <f>$G$7</f>
        <v>Santa Monica College</v>
      </c>
      <c r="B31" s="59" t="str">
        <f>$G$8</f>
        <v>Pico Partnership</v>
      </c>
      <c r="D31" s="59" t="s">
        <v>84</v>
      </c>
      <c r="E31" s="29" t="s">
        <v>85</v>
      </c>
      <c r="F31" s="241" t="s">
        <v>98</v>
      </c>
      <c r="G31" s="225" t="s">
        <v>99</v>
      </c>
      <c r="H31" s="222">
        <v>0.5</v>
      </c>
      <c r="I31" s="223">
        <v>4264.583333333333</v>
      </c>
      <c r="J31" s="222">
        <f t="shared" si="18"/>
        <v>0.5</v>
      </c>
      <c r="K31" s="224">
        <v>1</v>
      </c>
      <c r="L31" s="220">
        <v>51175</v>
      </c>
      <c r="M31" s="220">
        <v>51175</v>
      </c>
      <c r="N31" s="219">
        <f>L31-M31</f>
        <v>0</v>
      </c>
      <c r="O31" s="271">
        <f>26070.43+1578</f>
        <v>27648.43</v>
      </c>
      <c r="P31" s="273">
        <f>25950.92-1577.65-0.56</f>
        <v>24372.709999999995</v>
      </c>
      <c r="Q31" s="50">
        <f>SUM(O31:P31)</f>
        <v>52021.14</v>
      </c>
      <c r="R31" s="48">
        <f>IFERROR(Q31/M31,"N/A")</f>
        <v>1.0165342452369321</v>
      </c>
      <c r="S31" s="274">
        <v>52021</v>
      </c>
      <c r="T31" s="43" t="s">
        <v>94</v>
      </c>
    </row>
    <row r="32" spans="1:20" ht="25.5" hidden="1" outlineLevel="1" x14ac:dyDescent="0.2">
      <c r="A32" s="59" t="str">
        <f>$G$7</f>
        <v>Santa Monica College</v>
      </c>
      <c r="B32" s="59" t="str">
        <f>$G$8</f>
        <v>Pico Partnership</v>
      </c>
      <c r="D32" s="59" t="s">
        <v>84</v>
      </c>
      <c r="E32" s="29" t="s">
        <v>85</v>
      </c>
      <c r="F32" s="241" t="s">
        <v>100</v>
      </c>
      <c r="G32" s="225" t="s">
        <v>101</v>
      </c>
      <c r="H32" s="222">
        <v>0.5</v>
      </c>
      <c r="I32" s="223">
        <v>2021</v>
      </c>
      <c r="J32" s="222">
        <f t="shared" si="18"/>
        <v>0.22500000000000001</v>
      </c>
      <c r="K32" s="224">
        <v>0.45</v>
      </c>
      <c r="L32" s="220">
        <v>24252</v>
      </c>
      <c r="M32" s="220">
        <v>0</v>
      </c>
      <c r="N32" s="219">
        <f>L32-M32</f>
        <v>24252</v>
      </c>
      <c r="O32" s="271">
        <v>0</v>
      </c>
      <c r="P32" s="271">
        <v>0</v>
      </c>
      <c r="Q32" s="50">
        <f>SUM(O32:P32)</f>
        <v>0</v>
      </c>
      <c r="R32" s="48" t="str">
        <f t="shared" ref="R32:R34" si="19">IFERROR(Q32/M32,"N/A")</f>
        <v>N/A</v>
      </c>
      <c r="S32" s="272">
        <v>24950</v>
      </c>
      <c r="T32" s="43" t="s">
        <v>94</v>
      </c>
    </row>
    <row r="33" spans="1:20" ht="25.5" hidden="1" outlineLevel="1" x14ac:dyDescent="0.2">
      <c r="A33" s="59" t="str">
        <f>$G$7</f>
        <v>Santa Monica College</v>
      </c>
      <c r="B33" s="59" t="str">
        <f>$G$8</f>
        <v>Pico Partnership</v>
      </c>
      <c r="D33" s="59" t="s">
        <v>84</v>
      </c>
      <c r="E33" s="29" t="s">
        <v>85</v>
      </c>
      <c r="F33" s="242" t="s">
        <v>102</v>
      </c>
      <c r="G33" s="221" t="s">
        <v>103</v>
      </c>
      <c r="H33" s="222">
        <v>0.5</v>
      </c>
      <c r="I33" s="223">
        <v>1276.2352941176471</v>
      </c>
      <c r="J33" s="222">
        <f t="shared" si="18"/>
        <v>0.11</v>
      </c>
      <c r="K33" s="224">
        <v>0.22</v>
      </c>
      <c r="L33" s="220">
        <v>10848</v>
      </c>
      <c r="M33" s="220">
        <v>0</v>
      </c>
      <c r="N33" s="219">
        <f>L33-M33</f>
        <v>10848</v>
      </c>
      <c r="O33" s="271">
        <v>0</v>
      </c>
      <c r="P33" s="271">
        <v>0</v>
      </c>
      <c r="Q33" s="50">
        <f>SUM(O33:P33)</f>
        <v>0</v>
      </c>
      <c r="R33" s="48" t="str">
        <f t="shared" si="19"/>
        <v>N/A</v>
      </c>
      <c r="S33" s="272">
        <v>11074</v>
      </c>
      <c r="T33" s="43" t="s">
        <v>94</v>
      </c>
    </row>
    <row r="34" spans="1:20" collapsed="1" x14ac:dyDescent="0.2">
      <c r="F34" s="242"/>
      <c r="G34" s="221" t="s">
        <v>94</v>
      </c>
      <c r="H34" s="226"/>
      <c r="I34" s="227"/>
      <c r="J34" s="222"/>
      <c r="K34" s="226">
        <f>SUM(J30:J33)</f>
        <v>1.3350000000000002</v>
      </c>
      <c r="L34" s="220">
        <f>SUM(L30:L33)</f>
        <v>131747</v>
      </c>
      <c r="M34" s="220">
        <f t="shared" ref="M34:Q34" si="20">SUM(M30:M33)</f>
        <v>96647</v>
      </c>
      <c r="N34" s="219">
        <f t="shared" si="20"/>
        <v>35100</v>
      </c>
      <c r="O34" s="271">
        <f t="shared" si="20"/>
        <v>46028.740000000005</v>
      </c>
      <c r="P34" s="271">
        <f t="shared" si="20"/>
        <v>50730.28</v>
      </c>
      <c r="Q34" s="50">
        <f t="shared" si="20"/>
        <v>96759.02</v>
      </c>
      <c r="R34" s="48">
        <f t="shared" si="19"/>
        <v>1.0011590633956564</v>
      </c>
      <c r="S34" s="272">
        <f>SUM(S30:S33)</f>
        <v>132783</v>
      </c>
    </row>
    <row r="35" spans="1:20" hidden="1" outlineLevel="1" x14ac:dyDescent="0.2">
      <c r="A35" s="59" t="str">
        <f>$G$7</f>
        <v>Santa Monica College</v>
      </c>
      <c r="B35" s="59" t="str">
        <f>$G$8</f>
        <v>Pico Partnership</v>
      </c>
      <c r="D35" s="59" t="s">
        <v>84</v>
      </c>
      <c r="E35" s="29" t="s">
        <v>85</v>
      </c>
      <c r="F35" s="241" t="s">
        <v>95</v>
      </c>
      <c r="G35" s="221" t="s">
        <v>96</v>
      </c>
      <c r="H35" s="226">
        <v>0.5</v>
      </c>
      <c r="I35" s="227">
        <v>2212.75</v>
      </c>
      <c r="J35" s="222">
        <f t="shared" si="18"/>
        <v>0.5</v>
      </c>
      <c r="K35" s="228">
        <v>1</v>
      </c>
      <c r="L35" s="220">
        <v>26553</v>
      </c>
      <c r="M35" s="220">
        <v>0</v>
      </c>
      <c r="N35" s="219">
        <f>L35-M35</f>
        <v>26553</v>
      </c>
      <c r="O35" s="271">
        <v>0</v>
      </c>
      <c r="P35" s="271">
        <v>0</v>
      </c>
      <c r="Q35" s="50">
        <f>SUM(O35:P35)</f>
        <v>0</v>
      </c>
      <c r="R35" s="48" t="str">
        <f>IFERROR(Q35/M35,"N/A")</f>
        <v>N/A</v>
      </c>
      <c r="S35" s="272">
        <v>25483</v>
      </c>
      <c r="T35" s="43" t="s">
        <v>97</v>
      </c>
    </row>
    <row r="36" spans="1:20" collapsed="1" x14ac:dyDescent="0.2">
      <c r="F36" s="293"/>
      <c r="G36" s="294" t="s">
        <v>97</v>
      </c>
      <c r="H36" s="226"/>
      <c r="I36" s="227"/>
      <c r="J36" s="226"/>
      <c r="K36" s="226">
        <f>SUM(J35)</f>
        <v>0.5</v>
      </c>
      <c r="L36" s="216">
        <f>SUM(L35)</f>
        <v>26553</v>
      </c>
      <c r="M36" s="216">
        <f t="shared" ref="M36:Q36" si="21">SUM(M35)</f>
        <v>0</v>
      </c>
      <c r="N36" s="295">
        <f t="shared" si="21"/>
        <v>26553</v>
      </c>
      <c r="O36" s="210">
        <f t="shared" si="21"/>
        <v>0</v>
      </c>
      <c r="P36" s="210">
        <f t="shared" si="21"/>
        <v>0</v>
      </c>
      <c r="Q36" s="296">
        <f t="shared" si="21"/>
        <v>0</v>
      </c>
      <c r="R36" s="48" t="str">
        <f>IFERROR(Q36/M36,"N/A")</f>
        <v>N/A</v>
      </c>
      <c r="S36" s="297">
        <f>SUM(S35)</f>
        <v>25483</v>
      </c>
    </row>
    <row r="37" spans="1:20" ht="13.5" thickBot="1" x14ac:dyDescent="0.25">
      <c r="A37" s="59" t="str">
        <f t="shared" ref="A37" si="22">$G$7</f>
        <v>Santa Monica College</v>
      </c>
      <c r="B37" s="59" t="str">
        <f t="shared" ref="B37" si="23">$G$8</f>
        <v>Pico Partnership</v>
      </c>
      <c r="D37" s="59" t="s">
        <v>84</v>
      </c>
      <c r="E37" s="29" t="s">
        <v>85</v>
      </c>
      <c r="F37" s="243"/>
      <c r="G37" s="244"/>
      <c r="H37" s="245"/>
      <c r="I37" s="246"/>
      <c r="J37" s="247"/>
      <c r="K37" s="248"/>
      <c r="L37" s="249">
        <v>0</v>
      </c>
      <c r="M37" s="249">
        <v>0</v>
      </c>
      <c r="N37" s="250">
        <f t="shared" ref="N37" si="24">L37-M37</f>
        <v>0</v>
      </c>
      <c r="O37" s="275">
        <v>0</v>
      </c>
      <c r="P37" s="275">
        <v>0</v>
      </c>
      <c r="Q37" s="251">
        <f t="shared" ref="Q37" si="25">SUM(O37:P37)</f>
        <v>0</v>
      </c>
      <c r="R37" s="252" t="str">
        <f t="shared" ref="R37" si="26">IFERROR(Q37/M37,"N/A")</f>
        <v>N/A</v>
      </c>
      <c r="S37" s="276">
        <v>0</v>
      </c>
    </row>
    <row r="38" spans="1:20" ht="13.5" thickBot="1" x14ac:dyDescent="0.25">
      <c r="F38" s="181"/>
      <c r="G38" s="180"/>
      <c r="H38" s="236" t="s">
        <v>104</v>
      </c>
      <c r="I38" s="237"/>
      <c r="J38" s="237"/>
      <c r="K38" s="298">
        <f>SUM(K36,K34,K29)</f>
        <v>1.8750000000000002</v>
      </c>
      <c r="L38" s="238">
        <f t="shared" ref="L38:Q38" si="27">SUM(L36,L34,L29)</f>
        <v>158300</v>
      </c>
      <c r="M38" s="238">
        <f t="shared" si="27"/>
        <v>96647</v>
      </c>
      <c r="N38" s="238">
        <f t="shared" si="27"/>
        <v>61653</v>
      </c>
      <c r="O38" s="238">
        <f t="shared" si="27"/>
        <v>46028.740000000005</v>
      </c>
      <c r="P38" s="238">
        <f t="shared" si="27"/>
        <v>50730.28</v>
      </c>
      <c r="Q38" s="238">
        <f t="shared" si="27"/>
        <v>96759.02</v>
      </c>
      <c r="R38" s="239">
        <f t="shared" ref="R38" si="28">IFERROR(Q38/M38,"N/A")</f>
        <v>1.0011590633956564</v>
      </c>
      <c r="S38" s="240">
        <f>SUM(S36,S34,S29)</f>
        <v>158266</v>
      </c>
    </row>
    <row r="39" spans="1:20" ht="13.5" thickBot="1" x14ac:dyDescent="0.25">
      <c r="F39" s="43"/>
      <c r="G39" s="43"/>
      <c r="H39" s="43"/>
      <c r="I39" s="43"/>
      <c r="J39" s="43"/>
      <c r="K39" s="43"/>
    </row>
    <row r="40" spans="1:20" x14ac:dyDescent="0.2">
      <c r="F40" s="19" t="s">
        <v>105</v>
      </c>
      <c r="G40" s="18"/>
      <c r="H40" s="18"/>
      <c r="I40" s="18"/>
      <c r="J40" s="18"/>
      <c r="K40" s="17"/>
      <c r="L40" s="16"/>
      <c r="M40" s="16"/>
      <c r="N40" s="16"/>
      <c r="O40" s="16"/>
      <c r="P40" s="16"/>
      <c r="Q40" s="16"/>
      <c r="R40" s="15"/>
      <c r="S40" s="14"/>
    </row>
    <row r="41" spans="1:20" s="82" customFormat="1" x14ac:dyDescent="0.2">
      <c r="A41" s="59"/>
      <c r="B41" s="59"/>
      <c r="C41" s="77"/>
      <c r="D41" s="77"/>
      <c r="E41" s="86"/>
      <c r="F41" s="78" t="s">
        <v>106</v>
      </c>
      <c r="G41" s="88"/>
      <c r="H41" s="88"/>
      <c r="I41" s="88"/>
      <c r="J41" s="88"/>
      <c r="K41" s="80"/>
      <c r="L41" s="22"/>
      <c r="M41" s="22"/>
      <c r="N41" s="22"/>
      <c r="O41" s="22"/>
      <c r="P41" s="22"/>
      <c r="Q41" s="22"/>
      <c r="R41" s="21"/>
      <c r="S41" s="20"/>
    </row>
    <row r="42" spans="1:20" ht="33.75" x14ac:dyDescent="0.2">
      <c r="A42" s="59" t="str">
        <f t="shared" ref="A42:A44" si="29">$G$7</f>
        <v>Santa Monica College</v>
      </c>
      <c r="B42" s="59" t="str">
        <f t="shared" ref="B42:B44" si="30">$G$8</f>
        <v>Pico Partnership</v>
      </c>
      <c r="D42" s="59" t="s">
        <v>84</v>
      </c>
      <c r="E42" s="29" t="s">
        <v>105</v>
      </c>
      <c r="F42" s="67" t="s">
        <v>107</v>
      </c>
      <c r="G42" s="68"/>
      <c r="H42" s="69"/>
      <c r="I42" s="69"/>
      <c r="J42" s="69"/>
      <c r="K42" s="69"/>
      <c r="L42" s="51" t="s">
        <v>53</v>
      </c>
      <c r="M42" s="51" t="s">
        <v>54</v>
      </c>
      <c r="N42" s="51" t="s">
        <v>55</v>
      </c>
      <c r="O42" s="51" t="s">
        <v>56</v>
      </c>
      <c r="P42" s="51" t="s">
        <v>57</v>
      </c>
      <c r="Q42" s="51" t="s">
        <v>58</v>
      </c>
      <c r="R42" s="64" t="s">
        <v>59</v>
      </c>
      <c r="S42" s="65" t="s">
        <v>60</v>
      </c>
    </row>
    <row r="43" spans="1:20" x14ac:dyDescent="0.2">
      <c r="A43" s="59" t="str">
        <f t="shared" si="29"/>
        <v>Santa Monica College</v>
      </c>
      <c r="B43" s="59" t="str">
        <f t="shared" si="30"/>
        <v>Pico Partnership</v>
      </c>
      <c r="D43" s="59" t="s">
        <v>84</v>
      </c>
      <c r="E43" s="29" t="s">
        <v>105</v>
      </c>
      <c r="F43" s="217" t="s">
        <v>108</v>
      </c>
      <c r="G43" s="213"/>
      <c r="H43" s="47"/>
      <c r="I43" s="47"/>
      <c r="J43" s="47"/>
      <c r="K43" s="47"/>
      <c r="L43" s="216">
        <v>58017</v>
      </c>
      <c r="M43" s="216">
        <v>28463</v>
      </c>
      <c r="N43" s="211">
        <f t="shared" ref="N43" si="31">L43-M43</f>
        <v>29554</v>
      </c>
      <c r="O43" s="271">
        <f>7025.79+9550.58+149.23</f>
        <v>16725.599999999999</v>
      </c>
      <c r="P43" s="271">
        <f>11117.56+905.05-149.02</f>
        <v>11873.589999999998</v>
      </c>
      <c r="Q43" s="49">
        <f>SUM(O43:P43)</f>
        <v>28599.189999999995</v>
      </c>
      <c r="R43" s="48">
        <f>IFERROR(Q43/M43,"N/A")</f>
        <v>1.0047848083476794</v>
      </c>
      <c r="S43" s="271">
        <v>55730</v>
      </c>
    </row>
    <row r="44" spans="1:20" x14ac:dyDescent="0.2">
      <c r="A44" s="59" t="str">
        <f t="shared" si="29"/>
        <v>Santa Monica College</v>
      </c>
      <c r="B44" s="59" t="str">
        <f t="shared" si="30"/>
        <v>Pico Partnership</v>
      </c>
      <c r="D44" s="59" t="s">
        <v>84</v>
      </c>
      <c r="E44" s="29" t="s">
        <v>105</v>
      </c>
      <c r="F44" s="218"/>
      <c r="G44" s="213"/>
      <c r="H44" s="46"/>
      <c r="I44" s="47"/>
      <c r="J44" s="47"/>
      <c r="K44" s="47"/>
      <c r="L44" s="216">
        <v>0</v>
      </c>
      <c r="M44" s="216">
        <v>0</v>
      </c>
      <c r="N44" s="219">
        <f t="shared" ref="N44" si="32">L44-M44</f>
        <v>0</v>
      </c>
      <c r="O44" s="271">
        <v>0</v>
      </c>
      <c r="P44" s="277">
        <v>0</v>
      </c>
      <c r="Q44" s="45">
        <f t="shared" ref="Q44" si="33">SUM(O44:P44)</f>
        <v>0</v>
      </c>
      <c r="R44" s="44" t="str">
        <f t="shared" ref="R44" si="34">IFERROR(Q44/M44,"N/A")</f>
        <v>N/A</v>
      </c>
      <c r="S44" s="278">
        <v>0</v>
      </c>
    </row>
    <row r="45" spans="1:20" ht="13.5" thickBot="1" x14ac:dyDescent="0.25">
      <c r="F45" s="70"/>
      <c r="G45" s="66"/>
      <c r="H45" s="71" t="s">
        <v>109</v>
      </c>
      <c r="I45" s="72"/>
      <c r="J45" s="72"/>
      <c r="K45" s="73"/>
      <c r="L45" s="74">
        <f t="shared" ref="L45:Q45" si="35">SUM(L43:L44)</f>
        <v>58017</v>
      </c>
      <c r="M45" s="74">
        <f t="shared" si="35"/>
        <v>28463</v>
      </c>
      <c r="N45" s="74">
        <f t="shared" si="35"/>
        <v>29554</v>
      </c>
      <c r="O45" s="74">
        <f t="shared" si="35"/>
        <v>16725.599999999999</v>
      </c>
      <c r="P45" s="74">
        <f t="shared" si="35"/>
        <v>11873.589999999998</v>
      </c>
      <c r="Q45" s="74">
        <f t="shared" si="35"/>
        <v>28599.189999999995</v>
      </c>
      <c r="R45" s="75">
        <f>IFERROR(Q45/M45,"N/A")</f>
        <v>1.0047848083476794</v>
      </c>
      <c r="S45" s="76">
        <f>SUM(S43:S44)</f>
        <v>55730</v>
      </c>
    </row>
    <row r="46" spans="1:20" ht="13.5" thickBot="1" x14ac:dyDescent="0.25">
      <c r="F46" s="43"/>
      <c r="G46" s="43"/>
      <c r="H46" s="43"/>
      <c r="I46" s="43"/>
      <c r="J46" s="43"/>
      <c r="K46" s="43"/>
    </row>
    <row r="47" spans="1:20" s="82" customFormat="1" x14ac:dyDescent="0.2">
      <c r="A47" s="59"/>
      <c r="B47" s="59"/>
      <c r="C47" s="77"/>
      <c r="D47" s="77"/>
      <c r="E47" s="86"/>
      <c r="F47" s="19" t="s">
        <v>110</v>
      </c>
      <c r="G47" s="18"/>
      <c r="H47" s="18"/>
      <c r="I47" s="18"/>
      <c r="J47" s="18"/>
      <c r="K47" s="17"/>
      <c r="L47" s="16"/>
      <c r="M47" s="16"/>
      <c r="N47" s="16"/>
      <c r="O47" s="16"/>
      <c r="P47" s="16"/>
      <c r="Q47" s="16"/>
      <c r="R47" s="15"/>
      <c r="S47" s="14"/>
    </row>
    <row r="48" spans="1:20" s="82" customFormat="1" x14ac:dyDescent="0.2">
      <c r="A48" s="59"/>
      <c r="B48" s="59"/>
      <c r="C48" s="77"/>
      <c r="D48" s="77"/>
      <c r="E48" s="86"/>
      <c r="F48" s="87" t="s">
        <v>111</v>
      </c>
      <c r="G48" s="88"/>
      <c r="H48" s="88"/>
      <c r="I48" s="88"/>
      <c r="J48" s="88"/>
      <c r="K48" s="80"/>
      <c r="L48" s="22"/>
      <c r="M48" s="22"/>
      <c r="N48" s="22"/>
      <c r="O48" s="22"/>
      <c r="P48" s="22"/>
      <c r="Q48" s="22"/>
      <c r="R48" s="21"/>
      <c r="S48" s="20"/>
    </row>
    <row r="49" spans="1:19" x14ac:dyDescent="0.2">
      <c r="F49" s="87" t="s">
        <v>112</v>
      </c>
      <c r="G49" s="88"/>
      <c r="H49" s="88"/>
      <c r="I49" s="88"/>
      <c r="J49" s="88"/>
      <c r="K49" s="80"/>
      <c r="L49" s="22"/>
      <c r="M49" s="22"/>
      <c r="N49" s="22"/>
      <c r="O49" s="22"/>
      <c r="P49" s="22"/>
      <c r="Q49" s="22"/>
      <c r="R49" s="21"/>
      <c r="S49" s="20"/>
    </row>
    <row r="50" spans="1:19" ht="33.75" x14ac:dyDescent="0.2">
      <c r="F50" s="67" t="s">
        <v>107</v>
      </c>
      <c r="G50" s="68"/>
      <c r="H50" s="69"/>
      <c r="I50" s="69"/>
      <c r="J50" s="69"/>
      <c r="K50" s="69"/>
      <c r="L50" s="51" t="s">
        <v>53</v>
      </c>
      <c r="M50" s="51" t="s">
        <v>54</v>
      </c>
      <c r="N50" s="51" t="s">
        <v>55</v>
      </c>
      <c r="O50" s="51" t="s">
        <v>56</v>
      </c>
      <c r="P50" s="51" t="s">
        <v>57</v>
      </c>
      <c r="Q50" s="51" t="s">
        <v>58</v>
      </c>
      <c r="R50" s="64" t="s">
        <v>59</v>
      </c>
      <c r="S50" s="65" t="s">
        <v>60</v>
      </c>
    </row>
    <row r="51" spans="1:19" x14ac:dyDescent="0.2">
      <c r="A51" s="59" t="str">
        <f t="shared" ref="A51:A52" si="36">$G$7</f>
        <v>Santa Monica College</v>
      </c>
      <c r="B51" s="59" t="str">
        <f t="shared" ref="B51:B52" si="37">$G$8</f>
        <v>Pico Partnership</v>
      </c>
      <c r="D51" s="59" t="s">
        <v>84</v>
      </c>
      <c r="E51" s="29" t="s">
        <v>110</v>
      </c>
      <c r="F51" s="217"/>
      <c r="G51" s="213"/>
      <c r="H51" s="46"/>
      <c r="I51" s="47"/>
      <c r="J51" s="47"/>
      <c r="K51" s="47"/>
      <c r="L51" s="220">
        <v>0</v>
      </c>
      <c r="M51" s="211">
        <v>0</v>
      </c>
      <c r="N51" s="211">
        <f>L51-M51</f>
        <v>0</v>
      </c>
      <c r="O51" s="271">
        <v>0</v>
      </c>
      <c r="P51" s="271">
        <v>0</v>
      </c>
      <c r="Q51" s="49">
        <f>SUM(O51:P51)</f>
        <v>0</v>
      </c>
      <c r="R51" s="48" t="str">
        <f>IFERROR(Q51/M51,"N/A")</f>
        <v>N/A</v>
      </c>
      <c r="S51" s="279">
        <v>0</v>
      </c>
    </row>
    <row r="52" spans="1:19" x14ac:dyDescent="0.2">
      <c r="A52" s="59" t="str">
        <f t="shared" si="36"/>
        <v>Santa Monica College</v>
      </c>
      <c r="B52" s="59" t="str">
        <f t="shared" si="37"/>
        <v>Pico Partnership</v>
      </c>
      <c r="D52" s="59" t="s">
        <v>84</v>
      </c>
      <c r="E52" s="29" t="s">
        <v>110</v>
      </c>
      <c r="F52" s="218"/>
      <c r="G52" s="213"/>
      <c r="H52" s="46"/>
      <c r="I52" s="47"/>
      <c r="J52" s="47"/>
      <c r="K52" s="47"/>
      <c r="L52" s="220">
        <v>0</v>
      </c>
      <c r="M52" s="211">
        <v>0</v>
      </c>
      <c r="N52" s="219">
        <f t="shared" ref="N52" si="38">L52-M52</f>
        <v>0</v>
      </c>
      <c r="O52" s="271">
        <v>0</v>
      </c>
      <c r="P52" s="277">
        <v>0</v>
      </c>
      <c r="Q52" s="45">
        <f t="shared" ref="Q52" si="39">SUM(O52:P52)</f>
        <v>0</v>
      </c>
      <c r="R52" s="44" t="str">
        <f t="shared" ref="R52" si="40">IFERROR(Q52/M52,"N/A")</f>
        <v>N/A</v>
      </c>
      <c r="S52" s="278">
        <v>0</v>
      </c>
    </row>
    <row r="53" spans="1:19" ht="13.5" thickBot="1" x14ac:dyDescent="0.25">
      <c r="F53" s="70"/>
      <c r="G53" s="66"/>
      <c r="H53" s="71" t="s">
        <v>113</v>
      </c>
      <c r="I53" s="72"/>
      <c r="J53" s="72"/>
      <c r="K53" s="73"/>
      <c r="L53" s="74">
        <f t="shared" ref="L53:Q53" si="41">SUM(L51:L52)</f>
        <v>0</v>
      </c>
      <c r="M53" s="74">
        <f t="shared" si="41"/>
        <v>0</v>
      </c>
      <c r="N53" s="74">
        <f t="shared" si="41"/>
        <v>0</v>
      </c>
      <c r="O53" s="74">
        <f t="shared" si="41"/>
        <v>0</v>
      </c>
      <c r="P53" s="74">
        <f t="shared" si="41"/>
        <v>0</v>
      </c>
      <c r="Q53" s="74">
        <f t="shared" si="41"/>
        <v>0</v>
      </c>
      <c r="R53" s="75" t="str">
        <f>IFERROR(Q53/M53,"N/A")</f>
        <v>N/A</v>
      </c>
      <c r="S53" s="76">
        <f>SUM(S51:S52)</f>
        <v>0</v>
      </c>
    </row>
    <row r="54" spans="1:19" ht="13.5" thickBot="1" x14ac:dyDescent="0.25">
      <c r="F54" s="43"/>
      <c r="G54" s="43"/>
      <c r="H54" s="43"/>
      <c r="I54" s="43"/>
      <c r="J54" s="43"/>
      <c r="K54" s="43"/>
    </row>
    <row r="55" spans="1:19" s="82" customFormat="1" x14ac:dyDescent="0.2">
      <c r="A55" s="59"/>
      <c r="B55" s="59"/>
      <c r="C55" s="77"/>
      <c r="D55" s="77"/>
      <c r="E55" s="86"/>
      <c r="F55" s="19" t="s">
        <v>114</v>
      </c>
      <c r="G55" s="18"/>
      <c r="H55" s="18"/>
      <c r="I55" s="18"/>
      <c r="J55" s="18"/>
      <c r="K55" s="17"/>
      <c r="L55" s="16"/>
      <c r="M55" s="16"/>
      <c r="N55" s="16"/>
      <c r="O55" s="16"/>
      <c r="P55" s="16"/>
      <c r="Q55" s="16"/>
      <c r="R55" s="15"/>
      <c r="S55" s="14"/>
    </row>
    <row r="56" spans="1:19" x14ac:dyDescent="0.2">
      <c r="F56" s="87" t="s">
        <v>115</v>
      </c>
      <c r="G56" s="88"/>
      <c r="H56" s="88"/>
      <c r="I56" s="88"/>
      <c r="J56" s="88"/>
      <c r="K56" s="80"/>
      <c r="L56" s="22"/>
      <c r="M56" s="22"/>
      <c r="N56" s="22"/>
      <c r="O56" s="22"/>
      <c r="P56" s="22"/>
      <c r="Q56" s="22"/>
      <c r="R56" s="21"/>
      <c r="S56" s="20"/>
    </row>
    <row r="57" spans="1:19" ht="33.75" x14ac:dyDescent="0.2">
      <c r="F57" s="67" t="s">
        <v>107</v>
      </c>
      <c r="G57" s="68"/>
      <c r="H57" s="69"/>
      <c r="I57" s="69"/>
      <c r="J57" s="69"/>
      <c r="K57" s="69"/>
      <c r="L57" s="51" t="s">
        <v>53</v>
      </c>
      <c r="M57" s="51" t="s">
        <v>54</v>
      </c>
      <c r="N57" s="51" t="s">
        <v>55</v>
      </c>
      <c r="O57" s="51" t="s">
        <v>56</v>
      </c>
      <c r="P57" s="51" t="s">
        <v>57</v>
      </c>
      <c r="Q57" s="51" t="s">
        <v>58</v>
      </c>
      <c r="R57" s="64" t="s">
        <v>59</v>
      </c>
      <c r="S57" s="65" t="s">
        <v>60</v>
      </c>
    </row>
    <row r="58" spans="1:19" x14ac:dyDescent="0.2">
      <c r="A58" s="59" t="str">
        <f t="shared" ref="A58:A59" si="42">$G$7</f>
        <v>Santa Monica College</v>
      </c>
      <c r="B58" s="59" t="str">
        <f t="shared" ref="B58:B59" si="43">$G$8</f>
        <v>Pico Partnership</v>
      </c>
      <c r="D58" s="59" t="s">
        <v>84</v>
      </c>
      <c r="E58" s="29" t="s">
        <v>114</v>
      </c>
      <c r="F58" s="217"/>
      <c r="G58" s="213"/>
      <c r="H58" s="46"/>
      <c r="I58" s="47"/>
      <c r="J58" s="47"/>
      <c r="K58" s="47"/>
      <c r="L58" s="212">
        <v>0</v>
      </c>
      <c r="M58" s="211">
        <v>0</v>
      </c>
      <c r="N58" s="211">
        <f t="shared" ref="N58:N59" si="44">L58-M58</f>
        <v>0</v>
      </c>
      <c r="O58" s="271">
        <v>0</v>
      </c>
      <c r="P58" s="271">
        <v>0</v>
      </c>
      <c r="Q58" s="49">
        <f>SUM(O58:P58)</f>
        <v>0</v>
      </c>
      <c r="R58" s="48" t="str">
        <f>IFERROR(Q58/M58,"N/A")</f>
        <v>N/A</v>
      </c>
      <c r="S58" s="279">
        <v>0</v>
      </c>
    </row>
    <row r="59" spans="1:19" x14ac:dyDescent="0.2">
      <c r="A59" s="59" t="str">
        <f t="shared" si="42"/>
        <v>Santa Monica College</v>
      </c>
      <c r="B59" s="59" t="str">
        <f t="shared" si="43"/>
        <v>Pico Partnership</v>
      </c>
      <c r="D59" s="59" t="s">
        <v>84</v>
      </c>
      <c r="E59" s="29" t="s">
        <v>114</v>
      </c>
      <c r="F59" s="218"/>
      <c r="G59" s="213"/>
      <c r="H59" s="46"/>
      <c r="I59" s="47"/>
      <c r="J59" s="47"/>
      <c r="K59" s="47"/>
      <c r="L59" s="212">
        <v>0</v>
      </c>
      <c r="M59" s="211">
        <v>0</v>
      </c>
      <c r="N59" s="219">
        <f t="shared" si="44"/>
        <v>0</v>
      </c>
      <c r="O59" s="271">
        <v>0</v>
      </c>
      <c r="P59" s="277">
        <v>0</v>
      </c>
      <c r="Q59" s="45">
        <f>SUM(O59:P59)</f>
        <v>0</v>
      </c>
      <c r="R59" s="44" t="str">
        <f>IFERROR(Q59/M59,"N/A")</f>
        <v>N/A</v>
      </c>
      <c r="S59" s="278">
        <v>0</v>
      </c>
    </row>
    <row r="60" spans="1:19" ht="13.5" thickBot="1" x14ac:dyDescent="0.25">
      <c r="E60" s="43"/>
      <c r="F60" s="70"/>
      <c r="G60" s="66"/>
      <c r="H60" s="71" t="s">
        <v>116</v>
      </c>
      <c r="I60" s="72"/>
      <c r="J60" s="72"/>
      <c r="K60" s="73"/>
      <c r="L60" s="74">
        <f t="shared" ref="L60:Q60" si="45">SUM(L58:L59)</f>
        <v>0</v>
      </c>
      <c r="M60" s="74">
        <f t="shared" si="45"/>
        <v>0</v>
      </c>
      <c r="N60" s="74">
        <f t="shared" si="45"/>
        <v>0</v>
      </c>
      <c r="O60" s="74">
        <f t="shared" si="45"/>
        <v>0</v>
      </c>
      <c r="P60" s="74">
        <f t="shared" si="45"/>
        <v>0</v>
      </c>
      <c r="Q60" s="74">
        <f t="shared" si="45"/>
        <v>0</v>
      </c>
      <c r="R60" s="75" t="str">
        <f>IFERROR(Q60/M60,"N/A")</f>
        <v>N/A</v>
      </c>
      <c r="S60" s="76">
        <f>SUM(S58:S59)</f>
        <v>0</v>
      </c>
    </row>
    <row r="61" spans="1:19" ht="13.5" thickBot="1" x14ac:dyDescent="0.25">
      <c r="F61" s="43"/>
      <c r="G61" s="43"/>
      <c r="H61" s="43"/>
      <c r="I61" s="43"/>
      <c r="J61" s="43"/>
      <c r="K61" s="43"/>
    </row>
    <row r="62" spans="1:19" s="82" customFormat="1" x14ac:dyDescent="0.2">
      <c r="A62" s="59"/>
      <c r="B62" s="59"/>
      <c r="C62" s="77"/>
      <c r="D62" s="77"/>
      <c r="E62" s="86"/>
      <c r="F62" s="19" t="s">
        <v>117</v>
      </c>
      <c r="G62" s="18"/>
      <c r="H62" s="18"/>
      <c r="I62" s="18"/>
      <c r="J62" s="18"/>
      <c r="K62" s="17"/>
      <c r="L62" s="16"/>
      <c r="M62" s="16"/>
      <c r="N62" s="16"/>
      <c r="O62" s="16"/>
      <c r="P62" s="16"/>
      <c r="Q62" s="16"/>
      <c r="R62" s="15"/>
      <c r="S62" s="14"/>
    </row>
    <row r="63" spans="1:19" x14ac:dyDescent="0.2">
      <c r="F63" s="87" t="s">
        <v>118</v>
      </c>
      <c r="G63" s="88"/>
      <c r="H63" s="88"/>
      <c r="I63" s="88"/>
      <c r="J63" s="88"/>
      <c r="K63" s="80"/>
      <c r="L63" s="22"/>
      <c r="M63" s="22"/>
      <c r="N63" s="22"/>
      <c r="O63" s="22"/>
      <c r="P63" s="22"/>
      <c r="Q63" s="22"/>
      <c r="R63" s="21"/>
      <c r="S63" s="20"/>
    </row>
    <row r="64" spans="1:19" ht="33.75" x14ac:dyDescent="0.2">
      <c r="F64" s="67" t="s">
        <v>107</v>
      </c>
      <c r="G64" s="68"/>
      <c r="H64" s="69"/>
      <c r="I64" s="69"/>
      <c r="J64" s="69"/>
      <c r="K64" s="69"/>
      <c r="L64" s="51" t="s">
        <v>53</v>
      </c>
      <c r="M64" s="51" t="s">
        <v>54</v>
      </c>
      <c r="N64" s="51" t="s">
        <v>55</v>
      </c>
      <c r="O64" s="51" t="s">
        <v>56</v>
      </c>
      <c r="P64" s="51" t="s">
        <v>57</v>
      </c>
      <c r="Q64" s="51" t="s">
        <v>58</v>
      </c>
      <c r="R64" s="64" t="s">
        <v>59</v>
      </c>
      <c r="S64" s="65" t="s">
        <v>60</v>
      </c>
    </row>
    <row r="65" spans="1:19" x14ac:dyDescent="0.2">
      <c r="A65" s="59" t="str">
        <f t="shared" ref="A65:A66" si="46">$G$7</f>
        <v>Santa Monica College</v>
      </c>
      <c r="B65" s="59" t="str">
        <f t="shared" ref="B65:B66" si="47">$G$8</f>
        <v>Pico Partnership</v>
      </c>
      <c r="D65" s="59" t="s">
        <v>84</v>
      </c>
      <c r="E65" s="29" t="s">
        <v>117</v>
      </c>
      <c r="F65" s="217"/>
      <c r="G65" s="213"/>
      <c r="H65" s="46"/>
      <c r="I65" s="47"/>
      <c r="J65" s="47"/>
      <c r="K65" s="47"/>
      <c r="L65" s="212">
        <v>0</v>
      </c>
      <c r="M65" s="211">
        <v>0</v>
      </c>
      <c r="N65" s="211">
        <f t="shared" ref="N65:N66" si="48">L65-M65</f>
        <v>0</v>
      </c>
      <c r="O65" s="271">
        <v>0</v>
      </c>
      <c r="P65" s="271">
        <v>0</v>
      </c>
      <c r="Q65" s="49">
        <f>SUM(O65:P65)</f>
        <v>0</v>
      </c>
      <c r="R65" s="48" t="str">
        <f>IFERROR(Q65/M65,"N/A")</f>
        <v>N/A</v>
      </c>
      <c r="S65" s="279">
        <v>0</v>
      </c>
    </row>
    <row r="66" spans="1:19" x14ac:dyDescent="0.2">
      <c r="A66" s="59" t="str">
        <f t="shared" si="46"/>
        <v>Santa Monica College</v>
      </c>
      <c r="B66" s="59" t="str">
        <f t="shared" si="47"/>
        <v>Pico Partnership</v>
      </c>
      <c r="D66" s="59" t="s">
        <v>84</v>
      </c>
      <c r="E66" s="29" t="s">
        <v>117</v>
      </c>
      <c r="F66" s="218"/>
      <c r="G66" s="213"/>
      <c r="H66" s="46"/>
      <c r="I66" s="47"/>
      <c r="J66" s="47"/>
      <c r="K66" s="47"/>
      <c r="L66" s="212">
        <v>0</v>
      </c>
      <c r="M66" s="211">
        <v>0</v>
      </c>
      <c r="N66" s="219">
        <f t="shared" si="48"/>
        <v>0</v>
      </c>
      <c r="O66" s="271">
        <v>0</v>
      </c>
      <c r="P66" s="277">
        <v>0</v>
      </c>
      <c r="Q66" s="45">
        <f t="shared" ref="Q66" si="49">SUM(O66:P66)</f>
        <v>0</v>
      </c>
      <c r="R66" s="44" t="str">
        <f t="shared" ref="R66" si="50">IFERROR(Q66/M66,"N/A")</f>
        <v>N/A</v>
      </c>
      <c r="S66" s="278">
        <v>0</v>
      </c>
    </row>
    <row r="67" spans="1:19" ht="13.5" thickBot="1" x14ac:dyDescent="0.25">
      <c r="F67" s="70"/>
      <c r="G67" s="66"/>
      <c r="H67" s="71" t="s">
        <v>119</v>
      </c>
      <c r="I67" s="72"/>
      <c r="J67" s="72"/>
      <c r="K67" s="73"/>
      <c r="L67" s="74">
        <f t="shared" ref="L67:Q67" si="51">SUM(L65:L66)</f>
        <v>0</v>
      </c>
      <c r="M67" s="74">
        <f t="shared" si="51"/>
        <v>0</v>
      </c>
      <c r="N67" s="74">
        <f t="shared" si="51"/>
        <v>0</v>
      </c>
      <c r="O67" s="74">
        <f t="shared" si="51"/>
        <v>0</v>
      </c>
      <c r="P67" s="74">
        <f t="shared" si="51"/>
        <v>0</v>
      </c>
      <c r="Q67" s="74">
        <f t="shared" si="51"/>
        <v>0</v>
      </c>
      <c r="R67" s="75" t="str">
        <f>IFERROR(Q67/M67,"N/A")</f>
        <v>N/A</v>
      </c>
      <c r="S67" s="76">
        <f>SUM(S65:S66)</f>
        <v>0</v>
      </c>
    </row>
    <row r="68" spans="1:19" ht="13.5" thickBot="1" x14ac:dyDescent="0.25">
      <c r="F68" s="43"/>
      <c r="G68" s="43"/>
      <c r="H68" s="43"/>
      <c r="I68" s="43"/>
      <c r="J68" s="43"/>
      <c r="K68" s="43"/>
    </row>
    <row r="69" spans="1:19" s="82" customFormat="1" x14ac:dyDescent="0.2">
      <c r="A69" s="59"/>
      <c r="B69" s="59"/>
      <c r="C69" s="77"/>
      <c r="D69" s="77"/>
      <c r="E69" s="86"/>
      <c r="F69" s="19" t="s">
        <v>120</v>
      </c>
      <c r="G69" s="18"/>
      <c r="H69" s="18"/>
      <c r="I69" s="18"/>
      <c r="J69" s="18"/>
      <c r="K69" s="17"/>
      <c r="L69" s="16"/>
      <c r="M69" s="16"/>
      <c r="N69" s="16"/>
      <c r="O69" s="16"/>
      <c r="P69" s="16"/>
      <c r="Q69" s="16"/>
      <c r="R69" s="15"/>
      <c r="S69" s="14"/>
    </row>
    <row r="70" spans="1:19" x14ac:dyDescent="0.2">
      <c r="F70" s="87" t="s">
        <v>121</v>
      </c>
      <c r="G70" s="88"/>
      <c r="H70" s="88"/>
      <c r="I70" s="88"/>
      <c r="J70" s="88"/>
      <c r="K70" s="80"/>
      <c r="L70" s="22"/>
      <c r="M70" s="22"/>
      <c r="N70" s="22"/>
      <c r="O70" s="22"/>
      <c r="P70" s="22"/>
      <c r="Q70" s="22"/>
      <c r="R70" s="21"/>
      <c r="S70" s="20"/>
    </row>
    <row r="71" spans="1:19" ht="33.75" x14ac:dyDescent="0.2">
      <c r="F71" s="67" t="s">
        <v>107</v>
      </c>
      <c r="G71" s="68"/>
      <c r="H71" s="69"/>
      <c r="I71" s="69"/>
      <c r="J71" s="69"/>
      <c r="K71" s="69"/>
      <c r="L71" s="51" t="s">
        <v>53</v>
      </c>
      <c r="M71" s="51" t="s">
        <v>54</v>
      </c>
      <c r="N71" s="51" t="s">
        <v>55</v>
      </c>
      <c r="O71" s="51" t="s">
        <v>56</v>
      </c>
      <c r="P71" s="51" t="s">
        <v>57</v>
      </c>
      <c r="Q71" s="51" t="s">
        <v>58</v>
      </c>
      <c r="R71" s="64" t="s">
        <v>59</v>
      </c>
      <c r="S71" s="65" t="s">
        <v>60</v>
      </c>
    </row>
    <row r="72" spans="1:19" x14ac:dyDescent="0.2">
      <c r="A72" s="59" t="str">
        <f t="shared" ref="A72:A73" si="52">$G$7</f>
        <v>Santa Monica College</v>
      </c>
      <c r="B72" s="59" t="str">
        <f t="shared" ref="B72:B73" si="53">$G$8</f>
        <v>Pico Partnership</v>
      </c>
      <c r="D72" s="59" t="s">
        <v>84</v>
      </c>
      <c r="E72" s="29" t="s">
        <v>120</v>
      </c>
      <c r="F72" s="217"/>
      <c r="G72" s="213"/>
      <c r="H72" s="46"/>
      <c r="I72" s="47"/>
      <c r="J72" s="47"/>
      <c r="K72" s="47"/>
      <c r="L72" s="212">
        <v>0</v>
      </c>
      <c r="M72" s="211">
        <v>0</v>
      </c>
      <c r="N72" s="211">
        <f t="shared" ref="N72:N73" si="54">L72-M72</f>
        <v>0</v>
      </c>
      <c r="O72" s="271">
        <v>0</v>
      </c>
      <c r="P72" s="271">
        <v>0</v>
      </c>
      <c r="Q72" s="49">
        <f t="shared" ref="Q72:Q73" si="55">SUM(O72:P72)</f>
        <v>0</v>
      </c>
      <c r="R72" s="48" t="str">
        <f t="shared" ref="R72:R73" si="56">IFERROR(Q72/M72,"N/A")</f>
        <v>N/A</v>
      </c>
      <c r="S72" s="279">
        <v>0</v>
      </c>
    </row>
    <row r="73" spans="1:19" x14ac:dyDescent="0.2">
      <c r="A73" s="59" t="str">
        <f t="shared" si="52"/>
        <v>Santa Monica College</v>
      </c>
      <c r="B73" s="59" t="str">
        <f t="shared" si="53"/>
        <v>Pico Partnership</v>
      </c>
      <c r="D73" s="59" t="s">
        <v>84</v>
      </c>
      <c r="E73" s="29" t="s">
        <v>120</v>
      </c>
      <c r="F73" s="218"/>
      <c r="G73" s="213"/>
      <c r="H73" s="46"/>
      <c r="I73" s="47"/>
      <c r="J73" s="47"/>
      <c r="K73" s="47"/>
      <c r="L73" s="212">
        <v>0</v>
      </c>
      <c r="M73" s="211">
        <v>0</v>
      </c>
      <c r="N73" s="219">
        <f t="shared" si="54"/>
        <v>0</v>
      </c>
      <c r="O73" s="271">
        <v>0</v>
      </c>
      <c r="P73" s="277">
        <v>0</v>
      </c>
      <c r="Q73" s="45">
        <f t="shared" si="55"/>
        <v>0</v>
      </c>
      <c r="R73" s="44" t="str">
        <f t="shared" si="56"/>
        <v>N/A</v>
      </c>
      <c r="S73" s="278">
        <v>0</v>
      </c>
    </row>
    <row r="74" spans="1:19" ht="13.5" thickBot="1" x14ac:dyDescent="0.25">
      <c r="F74" s="70"/>
      <c r="G74" s="66"/>
      <c r="H74" s="71" t="s">
        <v>122</v>
      </c>
      <c r="I74" s="72"/>
      <c r="J74" s="72"/>
      <c r="K74" s="73"/>
      <c r="L74" s="74">
        <f t="shared" ref="L74:Q74" si="57">SUM(L72:L73)</f>
        <v>0</v>
      </c>
      <c r="M74" s="74">
        <f t="shared" si="57"/>
        <v>0</v>
      </c>
      <c r="N74" s="74">
        <f t="shared" si="57"/>
        <v>0</v>
      </c>
      <c r="O74" s="74">
        <f t="shared" si="57"/>
        <v>0</v>
      </c>
      <c r="P74" s="74">
        <f t="shared" si="57"/>
        <v>0</v>
      </c>
      <c r="Q74" s="74">
        <f t="shared" si="57"/>
        <v>0</v>
      </c>
      <c r="R74" s="75" t="str">
        <f>IFERROR(Q74/M74,"N/A")</f>
        <v>N/A</v>
      </c>
      <c r="S74" s="76">
        <f>SUM(S72:S73)</f>
        <v>0</v>
      </c>
    </row>
    <row r="75" spans="1:19" ht="13.5" thickBot="1" x14ac:dyDescent="0.25">
      <c r="F75" s="43"/>
      <c r="G75" s="43"/>
      <c r="H75" s="43"/>
      <c r="I75" s="43"/>
      <c r="J75" s="43"/>
      <c r="K75" s="43"/>
    </row>
    <row r="76" spans="1:19" s="82" customFormat="1" x14ac:dyDescent="0.2">
      <c r="A76" s="59"/>
      <c r="B76" s="59"/>
      <c r="C76" s="77"/>
      <c r="D76" s="77"/>
      <c r="E76" s="86"/>
      <c r="F76" s="19" t="s">
        <v>123</v>
      </c>
      <c r="G76" s="18"/>
      <c r="H76" s="18"/>
      <c r="I76" s="18"/>
      <c r="J76" s="18"/>
      <c r="K76" s="17"/>
      <c r="L76" s="16"/>
      <c r="M76" s="16"/>
      <c r="N76" s="16"/>
      <c r="O76" s="16"/>
      <c r="P76" s="16"/>
      <c r="Q76" s="16"/>
      <c r="R76" s="15"/>
      <c r="S76" s="14"/>
    </row>
    <row r="77" spans="1:19" x14ac:dyDescent="0.2">
      <c r="F77" s="87" t="s">
        <v>124</v>
      </c>
      <c r="G77" s="80"/>
      <c r="H77" s="88"/>
      <c r="I77" s="88"/>
      <c r="J77" s="88"/>
      <c r="K77" s="80"/>
      <c r="L77" s="22"/>
      <c r="M77" s="22"/>
      <c r="N77" s="22"/>
      <c r="O77" s="22"/>
      <c r="P77" s="22"/>
      <c r="Q77" s="22"/>
      <c r="R77" s="21"/>
      <c r="S77" s="20"/>
    </row>
    <row r="78" spans="1:19" ht="33.75" x14ac:dyDescent="0.2">
      <c r="F78" s="67" t="s">
        <v>107</v>
      </c>
      <c r="G78" s="68"/>
      <c r="H78" s="69"/>
      <c r="I78" s="69"/>
      <c r="J78" s="69"/>
      <c r="K78" s="69"/>
      <c r="L78" s="51" t="s">
        <v>53</v>
      </c>
      <c r="M78" s="51" t="s">
        <v>54</v>
      </c>
      <c r="N78" s="51" t="s">
        <v>55</v>
      </c>
      <c r="O78" s="51" t="s">
        <v>56</v>
      </c>
      <c r="P78" s="51" t="s">
        <v>57</v>
      </c>
      <c r="Q78" s="51" t="s">
        <v>58</v>
      </c>
      <c r="R78" s="64" t="s">
        <v>59</v>
      </c>
      <c r="S78" s="65" t="s">
        <v>60</v>
      </c>
    </row>
    <row r="79" spans="1:19" x14ac:dyDescent="0.2">
      <c r="A79" s="59" t="str">
        <f t="shared" ref="A79:A80" si="58">$G$7</f>
        <v>Santa Monica College</v>
      </c>
      <c r="B79" s="59" t="str">
        <f t="shared" ref="B79:B80" si="59">$G$8</f>
        <v>Pico Partnership</v>
      </c>
      <c r="D79" s="59" t="s">
        <v>84</v>
      </c>
      <c r="E79" s="29" t="s">
        <v>123</v>
      </c>
      <c r="F79" s="217"/>
      <c r="G79" s="213"/>
      <c r="H79" s="46"/>
      <c r="I79" s="47"/>
      <c r="J79" s="47"/>
      <c r="K79" s="47"/>
      <c r="L79" s="212">
        <v>0</v>
      </c>
      <c r="M79" s="211">
        <v>0</v>
      </c>
      <c r="N79" s="211">
        <f t="shared" ref="N79:N80" si="60">L79-M79</f>
        <v>0</v>
      </c>
      <c r="O79" s="271">
        <v>0</v>
      </c>
      <c r="P79" s="271">
        <v>0</v>
      </c>
      <c r="Q79" s="49">
        <f>SUM(O79:P79)</f>
        <v>0</v>
      </c>
      <c r="R79" s="48" t="str">
        <f>IFERROR(Q79/M79,"N/A")</f>
        <v>N/A</v>
      </c>
      <c r="S79" s="279">
        <v>0</v>
      </c>
    </row>
    <row r="80" spans="1:19" x14ac:dyDescent="0.2">
      <c r="A80" s="59" t="str">
        <f t="shared" si="58"/>
        <v>Santa Monica College</v>
      </c>
      <c r="B80" s="59" t="str">
        <f t="shared" si="59"/>
        <v>Pico Partnership</v>
      </c>
      <c r="D80" s="59" t="s">
        <v>84</v>
      </c>
      <c r="E80" s="29" t="s">
        <v>123</v>
      </c>
      <c r="F80" s="218"/>
      <c r="G80" s="213"/>
      <c r="H80" s="46"/>
      <c r="I80" s="47"/>
      <c r="J80" s="47"/>
      <c r="K80" s="47"/>
      <c r="L80" s="212">
        <v>0</v>
      </c>
      <c r="M80" s="211">
        <v>0</v>
      </c>
      <c r="N80" s="219">
        <f t="shared" si="60"/>
        <v>0</v>
      </c>
      <c r="O80" s="271">
        <v>0</v>
      </c>
      <c r="P80" s="277">
        <v>0</v>
      </c>
      <c r="Q80" s="45">
        <f t="shared" ref="Q80" si="61">SUM(O80:P80)</f>
        <v>0</v>
      </c>
      <c r="R80" s="44" t="str">
        <f t="shared" ref="R80" si="62">IFERROR(Q80/M80,"N/A")</f>
        <v>N/A</v>
      </c>
      <c r="S80" s="278">
        <v>0</v>
      </c>
    </row>
    <row r="81" spans="1:19" ht="13.5" thickBot="1" x14ac:dyDescent="0.25">
      <c r="F81" s="70"/>
      <c r="G81" s="66"/>
      <c r="H81" s="71" t="s">
        <v>125</v>
      </c>
      <c r="I81" s="72"/>
      <c r="J81" s="72"/>
      <c r="K81" s="73"/>
      <c r="L81" s="74">
        <f t="shared" ref="L81:Q81" si="63">SUM(L79:L80)</f>
        <v>0</v>
      </c>
      <c r="M81" s="74">
        <f t="shared" si="63"/>
        <v>0</v>
      </c>
      <c r="N81" s="74">
        <f t="shared" si="63"/>
        <v>0</v>
      </c>
      <c r="O81" s="74">
        <f t="shared" si="63"/>
        <v>0</v>
      </c>
      <c r="P81" s="74">
        <f t="shared" si="63"/>
        <v>0</v>
      </c>
      <c r="Q81" s="74">
        <f t="shared" si="63"/>
        <v>0</v>
      </c>
      <c r="R81" s="75" t="str">
        <f>IFERROR(Q81/M81,"N/A")</f>
        <v>N/A</v>
      </c>
      <c r="S81" s="76">
        <f>SUM(S79:S80)</f>
        <v>0</v>
      </c>
    </row>
    <row r="82" spans="1:19" ht="13.5" thickBot="1" x14ac:dyDescent="0.25">
      <c r="F82" s="43"/>
      <c r="G82" s="43"/>
      <c r="H82" s="43"/>
      <c r="I82" s="43"/>
      <c r="J82" s="43"/>
      <c r="K82" s="43"/>
    </row>
    <row r="83" spans="1:19" s="82" customFormat="1" x14ac:dyDescent="0.2">
      <c r="A83" s="59"/>
      <c r="B83" s="59"/>
      <c r="C83" s="77"/>
      <c r="D83" s="77"/>
      <c r="E83" s="86"/>
      <c r="F83" s="23" t="s">
        <v>126</v>
      </c>
      <c r="G83" s="18"/>
      <c r="H83" s="18"/>
      <c r="I83" s="18"/>
      <c r="J83" s="18"/>
      <c r="K83" s="17"/>
      <c r="L83" s="16"/>
      <c r="M83" s="16"/>
      <c r="N83" s="16"/>
      <c r="O83" s="16"/>
      <c r="P83" s="16"/>
      <c r="Q83" s="16"/>
      <c r="R83" s="15"/>
      <c r="S83" s="14"/>
    </row>
    <row r="84" spans="1:19" x14ac:dyDescent="0.2">
      <c r="F84" s="78" t="s">
        <v>127</v>
      </c>
      <c r="G84" s="88"/>
      <c r="H84" s="88"/>
      <c r="I84" s="88"/>
      <c r="J84" s="88"/>
      <c r="K84" s="80"/>
      <c r="L84" s="22"/>
      <c r="M84" s="22"/>
      <c r="N84" s="22"/>
      <c r="O84" s="22"/>
      <c r="P84" s="22"/>
      <c r="Q84" s="22"/>
      <c r="R84" s="21"/>
      <c r="S84" s="20"/>
    </row>
    <row r="85" spans="1:19" ht="33.75" x14ac:dyDescent="0.2">
      <c r="F85" s="67" t="s">
        <v>107</v>
      </c>
      <c r="G85" s="68"/>
      <c r="H85" s="69"/>
      <c r="I85" s="69"/>
      <c r="J85" s="69"/>
      <c r="K85" s="69"/>
      <c r="L85" s="51" t="s">
        <v>53</v>
      </c>
      <c r="M85" s="51" t="s">
        <v>54</v>
      </c>
      <c r="N85" s="51" t="s">
        <v>55</v>
      </c>
      <c r="O85" s="51" t="s">
        <v>56</v>
      </c>
      <c r="P85" s="51" t="s">
        <v>57</v>
      </c>
      <c r="Q85" s="51" t="s">
        <v>58</v>
      </c>
      <c r="R85" s="64" t="s">
        <v>59</v>
      </c>
      <c r="S85" s="65" t="s">
        <v>60</v>
      </c>
    </row>
    <row r="86" spans="1:19" x14ac:dyDescent="0.2">
      <c r="A86" s="59" t="str">
        <f t="shared" ref="A86:A87" si="64">$G$7</f>
        <v>Santa Monica College</v>
      </c>
      <c r="B86" s="59" t="str">
        <f t="shared" ref="B86:B87" si="65">$G$8</f>
        <v>Pico Partnership</v>
      </c>
      <c r="D86" s="59" t="s">
        <v>84</v>
      </c>
      <c r="E86" s="29" t="s">
        <v>126</v>
      </c>
      <c r="F86" s="217"/>
      <c r="G86" s="213"/>
      <c r="H86" s="46"/>
      <c r="I86" s="47"/>
      <c r="J86" s="47"/>
      <c r="K86" s="47"/>
      <c r="L86" s="212">
        <v>0</v>
      </c>
      <c r="M86" s="211">
        <v>0</v>
      </c>
      <c r="N86" s="211">
        <f t="shared" ref="N86:N87" si="66">L86-M86</f>
        <v>0</v>
      </c>
      <c r="O86" s="271">
        <v>0</v>
      </c>
      <c r="P86" s="271">
        <v>0</v>
      </c>
      <c r="Q86" s="49">
        <f>SUM(O86:P86)</f>
        <v>0</v>
      </c>
      <c r="R86" s="48" t="str">
        <f>IFERROR(Q86/M86,"N/A")</f>
        <v>N/A</v>
      </c>
      <c r="S86" s="279">
        <v>0</v>
      </c>
    </row>
    <row r="87" spans="1:19" x14ac:dyDescent="0.2">
      <c r="A87" s="59" t="str">
        <f t="shared" si="64"/>
        <v>Santa Monica College</v>
      </c>
      <c r="B87" s="59" t="str">
        <f t="shared" si="65"/>
        <v>Pico Partnership</v>
      </c>
      <c r="D87" s="59" t="s">
        <v>84</v>
      </c>
      <c r="E87" s="29" t="s">
        <v>126</v>
      </c>
      <c r="F87" s="218"/>
      <c r="G87" s="213"/>
      <c r="H87" s="46"/>
      <c r="I87" s="47"/>
      <c r="J87" s="47"/>
      <c r="K87" s="47"/>
      <c r="L87" s="212">
        <v>0</v>
      </c>
      <c r="M87" s="211">
        <v>0</v>
      </c>
      <c r="N87" s="219">
        <f t="shared" si="66"/>
        <v>0</v>
      </c>
      <c r="O87" s="271">
        <v>0</v>
      </c>
      <c r="P87" s="277">
        <v>0</v>
      </c>
      <c r="Q87" s="45">
        <f>SUM(O87:P87)</f>
        <v>0</v>
      </c>
      <c r="R87" s="44" t="str">
        <f>IFERROR(Q87/M87,"N/A")</f>
        <v>N/A</v>
      </c>
      <c r="S87" s="278">
        <v>0</v>
      </c>
    </row>
    <row r="88" spans="1:19" ht="13.5" thickBot="1" x14ac:dyDescent="0.25">
      <c r="F88" s="70"/>
      <c r="G88" s="66"/>
      <c r="H88" s="71" t="s">
        <v>128</v>
      </c>
      <c r="I88" s="72"/>
      <c r="J88" s="72"/>
      <c r="K88" s="73"/>
      <c r="L88" s="74">
        <f t="shared" ref="L88:Q88" si="67">SUM(L86:L87)</f>
        <v>0</v>
      </c>
      <c r="M88" s="74">
        <f t="shared" si="67"/>
        <v>0</v>
      </c>
      <c r="N88" s="74">
        <f t="shared" si="67"/>
        <v>0</v>
      </c>
      <c r="O88" s="74">
        <f t="shared" si="67"/>
        <v>0</v>
      </c>
      <c r="P88" s="74">
        <f t="shared" si="67"/>
        <v>0</v>
      </c>
      <c r="Q88" s="74">
        <f t="shared" si="67"/>
        <v>0</v>
      </c>
      <c r="R88" s="75" t="str">
        <f>IFERROR(Q88/M88,"N/A")</f>
        <v>N/A</v>
      </c>
      <c r="S88" s="76">
        <f>SUM(S86:S87)</f>
        <v>0</v>
      </c>
    </row>
    <row r="89" spans="1:19" ht="13.5" thickBot="1" x14ac:dyDescent="0.25">
      <c r="F89" s="43"/>
      <c r="G89" s="43"/>
      <c r="H89" s="43"/>
      <c r="I89" s="43"/>
      <c r="J89" s="43"/>
      <c r="K89" s="43"/>
    </row>
    <row r="90" spans="1:19" s="82" customFormat="1" x14ac:dyDescent="0.2">
      <c r="A90" s="77"/>
      <c r="B90" s="77"/>
      <c r="C90" s="77"/>
      <c r="D90" s="77"/>
      <c r="E90" s="86"/>
      <c r="F90" s="19" t="s">
        <v>129</v>
      </c>
      <c r="G90" s="18"/>
      <c r="H90" s="18"/>
      <c r="I90" s="18"/>
      <c r="J90" s="18"/>
      <c r="K90" s="17"/>
      <c r="L90" s="16"/>
      <c r="M90" s="16"/>
      <c r="N90" s="16"/>
      <c r="O90" s="16"/>
      <c r="P90" s="16"/>
      <c r="Q90" s="16"/>
      <c r="R90" s="15"/>
      <c r="S90" s="14"/>
    </row>
    <row r="91" spans="1:19" x14ac:dyDescent="0.2">
      <c r="F91" s="87" t="s">
        <v>130</v>
      </c>
      <c r="G91" s="88"/>
      <c r="H91" s="88"/>
      <c r="I91" s="88"/>
      <c r="J91" s="88"/>
      <c r="K91" s="80"/>
      <c r="L91" s="22"/>
      <c r="M91" s="22"/>
      <c r="N91" s="22"/>
      <c r="O91" s="22"/>
      <c r="P91" s="22"/>
      <c r="Q91" s="22"/>
      <c r="R91" s="21"/>
      <c r="S91" s="20"/>
    </row>
    <row r="92" spans="1:19" ht="33.75" x14ac:dyDescent="0.2">
      <c r="F92" s="67" t="s">
        <v>107</v>
      </c>
      <c r="G92" s="68"/>
      <c r="H92" s="69"/>
      <c r="I92" s="69"/>
      <c r="J92" s="69"/>
      <c r="K92" s="69"/>
      <c r="L92" s="51" t="s">
        <v>53</v>
      </c>
      <c r="M92" s="51" t="s">
        <v>54</v>
      </c>
      <c r="N92" s="51" t="s">
        <v>55</v>
      </c>
      <c r="O92" s="51" t="s">
        <v>56</v>
      </c>
      <c r="P92" s="51" t="s">
        <v>57</v>
      </c>
      <c r="Q92" s="51" t="s">
        <v>58</v>
      </c>
      <c r="R92" s="64" t="s">
        <v>59</v>
      </c>
      <c r="S92" s="65" t="s">
        <v>60</v>
      </c>
    </row>
    <row r="93" spans="1:19" x14ac:dyDescent="0.2">
      <c r="A93" s="59" t="str">
        <f t="shared" ref="A93:A94" si="68">$G$7</f>
        <v>Santa Monica College</v>
      </c>
      <c r="B93" s="59" t="str">
        <f t="shared" ref="B93:B94" si="69">$G$8</f>
        <v>Pico Partnership</v>
      </c>
      <c r="D93" s="59" t="s">
        <v>84</v>
      </c>
      <c r="E93" s="29" t="s">
        <v>129</v>
      </c>
      <c r="F93" s="217" t="s">
        <v>131</v>
      </c>
      <c r="G93" s="213"/>
      <c r="H93" s="46"/>
      <c r="I93" s="47"/>
      <c r="J93" s="47"/>
      <c r="K93" s="47"/>
      <c r="L93" s="211">
        <f>8000-1000</f>
        <v>7000</v>
      </c>
      <c r="M93" s="211">
        <f>7500-1000</f>
        <v>6500</v>
      </c>
      <c r="N93" s="211">
        <f t="shared" ref="N93:N94" si="70">L93-M93</f>
        <v>500</v>
      </c>
      <c r="O93" s="271">
        <v>949.21</v>
      </c>
      <c r="P93" s="271">
        <f>1461.69+3335.46+505.43</f>
        <v>5302.58</v>
      </c>
      <c r="Q93" s="49">
        <f>SUM(O93:P93)</f>
        <v>6251.79</v>
      </c>
      <c r="R93" s="48">
        <f>IFERROR(Q93/M93,"N/A")</f>
        <v>0.96181384615384613</v>
      </c>
      <c r="S93" s="271">
        <v>6252</v>
      </c>
    </row>
    <row r="94" spans="1:19" x14ac:dyDescent="0.2">
      <c r="A94" s="59" t="str">
        <f t="shared" si="68"/>
        <v>Santa Monica College</v>
      </c>
      <c r="B94" s="59" t="str">
        <f t="shared" si="69"/>
        <v>Pico Partnership</v>
      </c>
      <c r="D94" s="59" t="s">
        <v>84</v>
      </c>
      <c r="E94" s="29" t="s">
        <v>129</v>
      </c>
      <c r="F94" s="218"/>
      <c r="G94" s="213"/>
      <c r="H94" s="46"/>
      <c r="I94" s="47"/>
      <c r="J94" s="47"/>
      <c r="K94" s="47"/>
      <c r="L94" s="211">
        <v>0</v>
      </c>
      <c r="M94" s="211">
        <v>0</v>
      </c>
      <c r="N94" s="211">
        <f t="shared" si="70"/>
        <v>0</v>
      </c>
      <c r="O94" s="271">
        <v>0</v>
      </c>
      <c r="P94" s="271">
        <v>0</v>
      </c>
      <c r="Q94" s="49">
        <f t="shared" ref="Q94" si="71">SUM(O94:P94)</f>
        <v>0</v>
      </c>
      <c r="R94" s="48" t="str">
        <f t="shared" ref="R94" si="72">IFERROR(Q94/M94,"N/A")</f>
        <v>N/A</v>
      </c>
      <c r="S94" s="279">
        <v>0</v>
      </c>
    </row>
    <row r="95" spans="1:19" ht="13.5" thickBot="1" x14ac:dyDescent="0.25">
      <c r="F95" s="70"/>
      <c r="G95" s="66"/>
      <c r="H95" s="71" t="s">
        <v>132</v>
      </c>
      <c r="I95" s="72"/>
      <c r="J95" s="72"/>
      <c r="K95" s="73"/>
      <c r="L95" s="74">
        <f t="shared" ref="L95:Q95" si="73">SUM(L93:L94)</f>
        <v>7000</v>
      </c>
      <c r="M95" s="74">
        <f t="shared" si="73"/>
        <v>6500</v>
      </c>
      <c r="N95" s="74">
        <f t="shared" si="73"/>
        <v>500</v>
      </c>
      <c r="O95" s="74">
        <f t="shared" si="73"/>
        <v>949.21</v>
      </c>
      <c r="P95" s="74">
        <f t="shared" si="73"/>
        <v>5302.58</v>
      </c>
      <c r="Q95" s="74">
        <f t="shared" si="73"/>
        <v>6251.79</v>
      </c>
      <c r="R95" s="75">
        <f>IFERROR(Q95/M95,"N/A")</f>
        <v>0.96181384615384613</v>
      </c>
      <c r="S95" s="76">
        <f>SUM(S93:S94)</f>
        <v>6252</v>
      </c>
    </row>
    <row r="96" spans="1:19" ht="13.5" thickBot="1" x14ac:dyDescent="0.25">
      <c r="F96" s="43"/>
      <c r="G96" s="43"/>
      <c r="H96" s="43"/>
      <c r="I96" s="43"/>
      <c r="J96" s="43"/>
      <c r="K96" s="43"/>
    </row>
    <row r="97" spans="1:19" s="82" customFormat="1" x14ac:dyDescent="0.2">
      <c r="F97" s="19" t="s">
        <v>133</v>
      </c>
      <c r="G97" s="18"/>
      <c r="H97" s="18"/>
      <c r="I97" s="18"/>
      <c r="J97" s="18"/>
      <c r="K97" s="17"/>
      <c r="L97" s="16"/>
      <c r="M97" s="16"/>
      <c r="N97" s="16"/>
      <c r="O97" s="16"/>
      <c r="P97" s="16"/>
      <c r="Q97" s="16"/>
      <c r="R97" s="15"/>
      <c r="S97" s="14"/>
    </row>
    <row r="98" spans="1:19" x14ac:dyDescent="0.2">
      <c r="F98" s="87" t="s">
        <v>134</v>
      </c>
      <c r="G98" s="88"/>
      <c r="H98" s="88"/>
      <c r="I98" s="88"/>
      <c r="J98" s="88"/>
      <c r="K98" s="80"/>
      <c r="L98" s="22"/>
      <c r="M98" s="22"/>
      <c r="N98" s="22"/>
      <c r="O98" s="22"/>
      <c r="P98" s="22"/>
      <c r="Q98" s="22"/>
      <c r="R98" s="21"/>
      <c r="S98" s="20"/>
    </row>
    <row r="99" spans="1:19" ht="33.75" x14ac:dyDescent="0.2">
      <c r="F99" s="67" t="s">
        <v>107</v>
      </c>
      <c r="G99" s="68"/>
      <c r="H99" s="69"/>
      <c r="I99" s="69"/>
      <c r="J99" s="69"/>
      <c r="K99" s="69"/>
      <c r="L99" s="51" t="s">
        <v>53</v>
      </c>
      <c r="M99" s="51" t="s">
        <v>54</v>
      </c>
      <c r="N99" s="51" t="s">
        <v>55</v>
      </c>
      <c r="O99" s="51" t="s">
        <v>56</v>
      </c>
      <c r="P99" s="51" t="s">
        <v>57</v>
      </c>
      <c r="Q99" s="51" t="s">
        <v>58</v>
      </c>
      <c r="R99" s="64" t="s">
        <v>59</v>
      </c>
      <c r="S99" s="65" t="s">
        <v>60</v>
      </c>
    </row>
    <row r="100" spans="1:19" ht="14.25" customHeight="1" x14ac:dyDescent="0.2">
      <c r="A100" s="59" t="str">
        <f t="shared" ref="A100:A102" si="74">$G$7</f>
        <v>Santa Monica College</v>
      </c>
      <c r="B100" s="59" t="str">
        <f t="shared" ref="B100:B102" si="75">$G$8</f>
        <v>Pico Partnership</v>
      </c>
      <c r="D100" s="59" t="s">
        <v>84</v>
      </c>
      <c r="E100" s="29" t="s">
        <v>133</v>
      </c>
      <c r="F100" s="217" t="s">
        <v>135</v>
      </c>
      <c r="G100" s="213"/>
      <c r="H100" s="46"/>
      <c r="I100" s="47"/>
      <c r="J100" s="47"/>
      <c r="K100" s="47"/>
      <c r="L100" s="211">
        <v>325</v>
      </c>
      <c r="M100" s="211">
        <v>0</v>
      </c>
      <c r="N100" s="211">
        <f t="shared" ref="N100:N102" si="76">L100-M100</f>
        <v>325</v>
      </c>
      <c r="O100" s="271">
        <v>0</v>
      </c>
      <c r="P100" s="271">
        <v>0</v>
      </c>
      <c r="Q100" s="49">
        <f>SUM(O100:P100)</f>
        <v>0</v>
      </c>
      <c r="R100" s="48" t="str">
        <f>IFERROR(Q100/M100,"N/A")</f>
        <v>N/A</v>
      </c>
      <c r="S100" s="279">
        <v>250.99</v>
      </c>
    </row>
    <row r="101" spans="1:19" ht="14.25" customHeight="1" x14ac:dyDescent="0.2">
      <c r="A101" s="59" t="str">
        <f t="shared" si="74"/>
        <v>Santa Monica College</v>
      </c>
      <c r="B101" s="59" t="str">
        <f t="shared" si="75"/>
        <v>Pico Partnership</v>
      </c>
      <c r="D101" s="59" t="s">
        <v>84</v>
      </c>
      <c r="E101" s="29" t="s">
        <v>133</v>
      </c>
      <c r="F101" s="218" t="s">
        <v>136</v>
      </c>
      <c r="G101" s="213"/>
      <c r="H101" s="46"/>
      <c r="I101" s="47"/>
      <c r="J101" s="47"/>
      <c r="K101" s="47"/>
      <c r="L101" s="211">
        <f>500+1000</f>
        <v>1500</v>
      </c>
      <c r="M101" s="211">
        <f>500+1000</f>
        <v>1500</v>
      </c>
      <c r="N101" s="211">
        <f t="shared" ref="N101" si="77">L101-M101</f>
        <v>0</v>
      </c>
      <c r="O101" s="271">
        <v>500</v>
      </c>
      <c r="P101" s="271">
        <v>1000</v>
      </c>
      <c r="Q101" s="49">
        <f t="shared" ref="Q101" si="78">SUM(O101:P101)</f>
        <v>1500</v>
      </c>
      <c r="R101" s="48">
        <f t="shared" ref="R101" si="79">IFERROR(Q101/M101,"N/A")</f>
        <v>1</v>
      </c>
      <c r="S101" s="279">
        <v>1500</v>
      </c>
    </row>
    <row r="102" spans="1:19" x14ac:dyDescent="0.2">
      <c r="A102" s="59" t="str">
        <f t="shared" si="74"/>
        <v>Santa Monica College</v>
      </c>
      <c r="B102" s="59" t="str">
        <f t="shared" si="75"/>
        <v>Pico Partnership</v>
      </c>
      <c r="D102" s="59" t="s">
        <v>84</v>
      </c>
      <c r="E102" s="29" t="s">
        <v>133</v>
      </c>
      <c r="F102" s="218"/>
      <c r="G102" s="213"/>
      <c r="H102" s="46"/>
      <c r="I102" s="47"/>
      <c r="J102" s="47"/>
      <c r="K102" s="47"/>
      <c r="L102" s="211">
        <v>0</v>
      </c>
      <c r="M102" s="211">
        <v>0</v>
      </c>
      <c r="N102" s="211">
        <f t="shared" si="76"/>
        <v>0</v>
      </c>
      <c r="O102" s="271">
        <v>0</v>
      </c>
      <c r="P102" s="271">
        <v>0</v>
      </c>
      <c r="Q102" s="49">
        <f t="shared" ref="Q102" si="80">SUM(O102:P102)</f>
        <v>0</v>
      </c>
      <c r="R102" s="48" t="str">
        <f t="shared" ref="R102" si="81">IFERROR(Q102/M102,"N/A")</f>
        <v>N/A</v>
      </c>
      <c r="S102" s="279">
        <v>0</v>
      </c>
    </row>
    <row r="103" spans="1:19" ht="13.5" thickBot="1" x14ac:dyDescent="0.25">
      <c r="F103" s="70"/>
      <c r="G103" s="66"/>
      <c r="H103" s="71" t="s">
        <v>137</v>
      </c>
      <c r="I103" s="72"/>
      <c r="J103" s="72"/>
      <c r="K103" s="73"/>
      <c r="L103" s="74">
        <f t="shared" ref="L103:Q103" si="82">SUM(L100:L102)</f>
        <v>1825</v>
      </c>
      <c r="M103" s="74">
        <f t="shared" si="82"/>
        <v>1500</v>
      </c>
      <c r="N103" s="74">
        <f t="shared" si="82"/>
        <v>325</v>
      </c>
      <c r="O103" s="74">
        <f t="shared" si="82"/>
        <v>500</v>
      </c>
      <c r="P103" s="74">
        <f t="shared" si="82"/>
        <v>1000</v>
      </c>
      <c r="Q103" s="74">
        <f t="shared" si="82"/>
        <v>1500</v>
      </c>
      <c r="R103" s="75">
        <f>IFERROR(Q103/M103,"N/A")</f>
        <v>1</v>
      </c>
      <c r="S103" s="76">
        <f>SUM(S100:S102)</f>
        <v>1750.99</v>
      </c>
    </row>
    <row r="104" spans="1:19" ht="13.5" thickBot="1" x14ac:dyDescent="0.25">
      <c r="F104" s="43"/>
      <c r="G104" s="43"/>
      <c r="H104" s="43"/>
      <c r="I104" s="43"/>
      <c r="J104" s="43"/>
      <c r="K104" s="43"/>
    </row>
    <row r="105" spans="1:19" s="82" customFormat="1" x14ac:dyDescent="0.2">
      <c r="A105" s="77"/>
      <c r="B105" s="77"/>
      <c r="C105" s="77"/>
      <c r="D105" s="77"/>
      <c r="E105" s="86"/>
      <c r="F105" s="19" t="s">
        <v>138</v>
      </c>
      <c r="G105" s="18"/>
      <c r="H105" s="18"/>
      <c r="I105" s="18"/>
      <c r="J105" s="18"/>
      <c r="K105" s="17"/>
      <c r="L105" s="16"/>
      <c r="M105" s="16"/>
      <c r="N105" s="16"/>
      <c r="O105" s="16"/>
      <c r="P105" s="16"/>
      <c r="Q105" s="16"/>
      <c r="R105" s="15"/>
      <c r="S105" s="14"/>
    </row>
    <row r="106" spans="1:19" s="82" customFormat="1" ht="11.25" x14ac:dyDescent="0.2">
      <c r="A106" s="77"/>
      <c r="B106" s="77"/>
      <c r="C106" s="77"/>
      <c r="D106" s="77"/>
      <c r="E106" s="86"/>
      <c r="F106" s="87" t="s">
        <v>139</v>
      </c>
      <c r="G106" s="79"/>
      <c r="H106" s="79"/>
      <c r="I106" s="79"/>
      <c r="J106" s="79"/>
      <c r="K106" s="80"/>
      <c r="L106" s="80"/>
      <c r="M106" s="80"/>
      <c r="N106" s="80"/>
      <c r="O106" s="80"/>
      <c r="P106" s="80"/>
      <c r="Q106" s="80"/>
      <c r="R106" s="197"/>
      <c r="S106" s="81"/>
    </row>
    <row r="107" spans="1:19" s="82" customFormat="1" ht="11.25" x14ac:dyDescent="0.2">
      <c r="A107" s="77"/>
      <c r="B107" s="77"/>
      <c r="C107" s="77"/>
      <c r="D107" s="77"/>
      <c r="E107" s="86"/>
      <c r="F107" s="97" t="s">
        <v>140</v>
      </c>
      <c r="G107" s="79"/>
      <c r="H107" s="79"/>
      <c r="I107" s="79"/>
      <c r="J107" s="79"/>
      <c r="K107" s="80"/>
      <c r="L107" s="80"/>
      <c r="M107" s="80"/>
      <c r="N107" s="80"/>
      <c r="O107" s="80"/>
      <c r="P107" s="80"/>
      <c r="Q107" s="80"/>
      <c r="R107" s="197"/>
      <c r="S107" s="81"/>
    </row>
    <row r="108" spans="1:19" s="82" customFormat="1" ht="11.25" x14ac:dyDescent="0.2">
      <c r="A108" s="77"/>
      <c r="B108" s="77"/>
      <c r="C108" s="77"/>
      <c r="D108" s="77"/>
      <c r="E108" s="86"/>
      <c r="F108" s="97" t="s">
        <v>141</v>
      </c>
      <c r="G108" s="79"/>
      <c r="H108" s="79"/>
      <c r="I108" s="79"/>
      <c r="J108" s="79"/>
      <c r="K108" s="79"/>
      <c r="L108" s="83"/>
      <c r="M108" s="83"/>
      <c r="N108" s="83"/>
      <c r="O108" s="83"/>
      <c r="P108" s="83"/>
      <c r="Q108" s="83"/>
      <c r="R108" s="84"/>
      <c r="S108" s="85"/>
    </row>
    <row r="109" spans="1:19" ht="33.75" x14ac:dyDescent="0.2">
      <c r="F109" s="67" t="s">
        <v>107</v>
      </c>
      <c r="G109" s="68"/>
      <c r="H109" s="69"/>
      <c r="I109" s="69"/>
      <c r="J109" s="69"/>
      <c r="K109" s="69"/>
      <c r="L109" s="51" t="s">
        <v>53</v>
      </c>
      <c r="M109" s="51" t="s">
        <v>54</v>
      </c>
      <c r="N109" s="51" t="s">
        <v>55</v>
      </c>
      <c r="O109" s="51" t="s">
        <v>56</v>
      </c>
      <c r="P109" s="51" t="s">
        <v>57</v>
      </c>
      <c r="Q109" s="51" t="s">
        <v>58</v>
      </c>
      <c r="R109" s="64" t="s">
        <v>59</v>
      </c>
      <c r="S109" s="65" t="s">
        <v>60</v>
      </c>
    </row>
    <row r="110" spans="1:19" x14ac:dyDescent="0.2">
      <c r="A110" s="59" t="str">
        <f>$G$7</f>
        <v>Santa Monica College</v>
      </c>
      <c r="B110" s="59" t="str">
        <f>$G$8</f>
        <v>Pico Partnership</v>
      </c>
      <c r="D110" s="59" t="s">
        <v>84</v>
      </c>
      <c r="E110" s="29" t="s">
        <v>138</v>
      </c>
      <c r="F110" s="213" t="s">
        <v>142</v>
      </c>
      <c r="G110" s="213"/>
      <c r="H110" s="46"/>
      <c r="I110" s="47"/>
      <c r="J110" s="153"/>
      <c r="K110" s="154"/>
      <c r="L110" s="216">
        <v>0</v>
      </c>
      <c r="M110" s="216">
        <v>0</v>
      </c>
      <c r="N110" s="212">
        <f>L110-M110</f>
        <v>0</v>
      </c>
      <c r="O110" s="210">
        <v>0</v>
      </c>
      <c r="P110" s="210">
        <v>0</v>
      </c>
      <c r="Q110" s="49">
        <f>SUM(O110:P110)</f>
        <v>0</v>
      </c>
      <c r="R110" s="48" t="str">
        <f>IFERROR(Q110/M110,"N/A")</f>
        <v>N/A</v>
      </c>
      <c r="S110" s="279">
        <v>0</v>
      </c>
    </row>
    <row r="111" spans="1:19" ht="13.5" thickBot="1" x14ac:dyDescent="0.25">
      <c r="A111" s="59" t="str">
        <f t="shared" ref="A111" si="83">$G$7</f>
        <v>Santa Monica College</v>
      </c>
      <c r="B111" s="59" t="str">
        <f t="shared" ref="B111" si="84">$G$8</f>
        <v>Pico Partnership</v>
      </c>
      <c r="D111" s="59" t="s">
        <v>84</v>
      </c>
      <c r="E111" s="29" t="s">
        <v>133</v>
      </c>
      <c r="F111" s="214"/>
      <c r="G111" s="215"/>
      <c r="H111" s="46"/>
      <c r="I111" s="47"/>
      <c r="J111" s="153" t="s">
        <v>143</v>
      </c>
      <c r="K111" s="154">
        <f>IFERROR(M112/M114,"N/A")</f>
        <v>0</v>
      </c>
      <c r="L111" s="212">
        <v>0</v>
      </c>
      <c r="M111" s="212">
        <v>0</v>
      </c>
      <c r="N111" s="212">
        <f t="shared" ref="N111" si="85">L111-M111</f>
        <v>0</v>
      </c>
      <c r="O111" s="210">
        <v>0</v>
      </c>
      <c r="P111" s="210">
        <v>0</v>
      </c>
      <c r="Q111" s="61">
        <f>SUM(O111:P111)</f>
        <v>0</v>
      </c>
      <c r="R111" s="62" t="str">
        <f>IFERROR(Q111/M111,"N/A")</f>
        <v>N/A</v>
      </c>
      <c r="S111" s="280">
        <v>0</v>
      </c>
    </row>
    <row r="112" spans="1:19" ht="13.5" thickBot="1" x14ac:dyDescent="0.25">
      <c r="F112" s="190"/>
      <c r="G112" s="191"/>
      <c r="H112" s="192" t="s">
        <v>144</v>
      </c>
      <c r="I112" s="13"/>
      <c r="J112" s="13"/>
      <c r="K112" s="12"/>
      <c r="L112" s="11">
        <f>SUM(L110:L111)</f>
        <v>0</v>
      </c>
      <c r="M112" s="11">
        <f>SUM(M110:M111)</f>
        <v>0</v>
      </c>
      <c r="N112" s="11">
        <f>SUM(N110:N111)</f>
        <v>0</v>
      </c>
      <c r="O112" s="11">
        <f t="shared" ref="O112:Q112" si="86">SUM(O110:O111)</f>
        <v>0</v>
      </c>
      <c r="P112" s="11">
        <f t="shared" si="86"/>
        <v>0</v>
      </c>
      <c r="Q112" s="11">
        <f t="shared" si="86"/>
        <v>0</v>
      </c>
      <c r="R112" s="10" t="str">
        <f>IFERROR(Q112/M112,"N/A")</f>
        <v>N/A</v>
      </c>
      <c r="S112" s="9">
        <f>SUM(S110:S111)</f>
        <v>0</v>
      </c>
    </row>
    <row r="113" spans="1:19" ht="13.5" thickBot="1" x14ac:dyDescent="0.25">
      <c r="F113" s="43"/>
      <c r="G113" s="43"/>
      <c r="H113" s="43"/>
      <c r="I113" s="43"/>
      <c r="J113" s="43"/>
      <c r="K113" s="43"/>
    </row>
    <row r="114" spans="1:19" ht="15.75" thickBot="1" x14ac:dyDescent="0.3">
      <c r="F114" s="8"/>
      <c r="G114" s="6"/>
      <c r="H114" s="7" t="s">
        <v>81</v>
      </c>
      <c r="I114" s="6"/>
      <c r="J114" s="6"/>
      <c r="K114" s="5"/>
      <c r="L114" s="4">
        <f t="shared" ref="L114:Q114" si="87">SUM(L112,L103,L95,L88,L81,L74,L67,L60,L53,L45,L38)</f>
        <v>225142</v>
      </c>
      <c r="M114" s="4">
        <f t="shared" si="87"/>
        <v>133110</v>
      </c>
      <c r="N114" s="4">
        <f t="shared" si="87"/>
        <v>92032</v>
      </c>
      <c r="O114" s="4">
        <f t="shared" si="87"/>
        <v>64203.55</v>
      </c>
      <c r="P114" s="4">
        <f t="shared" si="87"/>
        <v>68906.45</v>
      </c>
      <c r="Q114" s="4">
        <f t="shared" si="87"/>
        <v>133110</v>
      </c>
      <c r="R114" s="3">
        <f>IFERROR(Q114/M114,"N/A")</f>
        <v>1</v>
      </c>
      <c r="S114" s="2">
        <f>SUM(S112,S103,S95,S88,S81,S74,S67,S60,S53,S45,S38)</f>
        <v>221998.99</v>
      </c>
    </row>
    <row r="115" spans="1:19" ht="15" customHeight="1" thickBot="1" x14ac:dyDescent="0.25">
      <c r="F115" s="43"/>
      <c r="G115" s="43"/>
      <c r="H115" s="43"/>
      <c r="I115" s="43"/>
      <c r="J115" s="43"/>
      <c r="K115" s="43"/>
    </row>
    <row r="116" spans="1:19" ht="39" customHeight="1" thickBot="1" x14ac:dyDescent="0.3">
      <c r="F116" s="101" t="s">
        <v>24</v>
      </c>
      <c r="G116" s="94"/>
      <c r="H116" s="94"/>
      <c r="I116" s="94"/>
      <c r="J116" s="94"/>
      <c r="K116" s="94"/>
      <c r="L116" s="94"/>
      <c r="M116" s="94"/>
      <c r="N116" s="94"/>
      <c r="O116" s="94"/>
      <c r="P116" s="94"/>
      <c r="Q116" s="94"/>
      <c r="R116" s="94"/>
      <c r="S116" s="100"/>
    </row>
    <row r="117" spans="1:19" ht="33.75" x14ac:dyDescent="0.2">
      <c r="F117" s="107" t="s">
        <v>145</v>
      </c>
      <c r="G117" s="99" t="s">
        <v>107</v>
      </c>
      <c r="H117" s="98"/>
      <c r="I117" s="98"/>
      <c r="J117" s="98"/>
      <c r="K117" s="126"/>
      <c r="L117" s="98"/>
      <c r="M117" s="98"/>
      <c r="N117" s="108" t="s">
        <v>146</v>
      </c>
      <c r="O117" s="108" t="s">
        <v>147</v>
      </c>
      <c r="P117" s="108" t="s">
        <v>148</v>
      </c>
      <c r="Q117" s="108" t="s">
        <v>149</v>
      </c>
      <c r="R117" s="123" t="s">
        <v>150</v>
      </c>
      <c r="S117" s="109" t="s">
        <v>151</v>
      </c>
    </row>
    <row r="118" spans="1:19" x14ac:dyDescent="0.2">
      <c r="A118" s="59" t="str">
        <f t="shared" ref="A118:A123" si="88">$G$7</f>
        <v>Santa Monica College</v>
      </c>
      <c r="B118" s="59" t="str">
        <f t="shared" ref="B118:B123" si="89">$G$8</f>
        <v>Pico Partnership</v>
      </c>
      <c r="D118" s="59" t="s">
        <v>24</v>
      </c>
      <c r="E118" s="29" t="str">
        <f t="shared" ref="E118:E123" si="90">F118</f>
        <v>1.  Government Grants</v>
      </c>
      <c r="F118" s="125" t="s">
        <v>152</v>
      </c>
      <c r="G118" s="281"/>
      <c r="H118" s="43"/>
      <c r="I118" s="43"/>
      <c r="J118" s="43"/>
      <c r="K118" s="127"/>
      <c r="L118" s="43"/>
      <c r="M118" s="43"/>
      <c r="N118" s="211">
        <v>0</v>
      </c>
      <c r="O118" s="277">
        <f>5403.75+31301</f>
        <v>36704.75</v>
      </c>
      <c r="P118" s="277">
        <v>-36704.75</v>
      </c>
      <c r="Q118" s="110">
        <f t="shared" ref="Q118:Q123" si="91">SUM(O118:P118)</f>
        <v>0</v>
      </c>
      <c r="R118" s="35"/>
      <c r="S118" s="193"/>
    </row>
    <row r="119" spans="1:19" x14ac:dyDescent="0.2">
      <c r="A119" s="59" t="str">
        <f t="shared" si="88"/>
        <v>Santa Monica College</v>
      </c>
      <c r="B119" s="59" t="str">
        <f t="shared" si="89"/>
        <v>Pico Partnership</v>
      </c>
      <c r="D119" s="59" t="s">
        <v>24</v>
      </c>
      <c r="E119" s="29" t="str">
        <f t="shared" si="90"/>
        <v>2.  Private/Corporate Grants</v>
      </c>
      <c r="F119" s="125" t="s">
        <v>153</v>
      </c>
      <c r="G119" s="281"/>
      <c r="H119" s="43"/>
      <c r="I119" s="43"/>
      <c r="J119" s="43"/>
      <c r="K119" s="127"/>
      <c r="L119" s="43"/>
      <c r="M119" s="43"/>
      <c r="N119" s="211">
        <v>0</v>
      </c>
      <c r="O119" s="277">
        <v>0</v>
      </c>
      <c r="P119" s="277">
        <v>0</v>
      </c>
      <c r="Q119" s="110">
        <f t="shared" si="91"/>
        <v>0</v>
      </c>
      <c r="R119" s="35"/>
      <c r="S119" s="193"/>
    </row>
    <row r="120" spans="1:19" x14ac:dyDescent="0.2">
      <c r="A120" s="59" t="str">
        <f t="shared" si="88"/>
        <v>Santa Monica College</v>
      </c>
      <c r="B120" s="59" t="str">
        <f t="shared" si="89"/>
        <v>Pico Partnership</v>
      </c>
      <c r="D120" s="59" t="s">
        <v>24</v>
      </c>
      <c r="E120" s="29" t="str">
        <f t="shared" si="90"/>
        <v>3.  Individual Donations</v>
      </c>
      <c r="F120" s="125" t="s">
        <v>154</v>
      </c>
      <c r="G120" s="281"/>
      <c r="H120" s="43"/>
      <c r="I120" s="43"/>
      <c r="J120" s="43"/>
      <c r="K120" s="127"/>
      <c r="L120" s="43"/>
      <c r="M120" s="43"/>
      <c r="N120" s="211">
        <v>0</v>
      </c>
      <c r="O120" s="277">
        <v>0</v>
      </c>
      <c r="P120" s="277">
        <v>0</v>
      </c>
      <c r="Q120" s="110">
        <f t="shared" si="91"/>
        <v>0</v>
      </c>
      <c r="S120" s="193"/>
    </row>
    <row r="121" spans="1:19" x14ac:dyDescent="0.2">
      <c r="A121" s="59" t="str">
        <f t="shared" si="88"/>
        <v>Santa Monica College</v>
      </c>
      <c r="B121" s="59" t="str">
        <f t="shared" si="89"/>
        <v>Pico Partnership</v>
      </c>
      <c r="D121" s="59" t="s">
        <v>24</v>
      </c>
      <c r="E121" s="29" t="str">
        <f t="shared" si="90"/>
        <v>4.  Fundraising Events</v>
      </c>
      <c r="F121" s="125" t="s">
        <v>155</v>
      </c>
      <c r="G121" s="281"/>
      <c r="H121" s="43"/>
      <c r="I121" s="43"/>
      <c r="J121" s="43"/>
      <c r="K121" s="127"/>
      <c r="L121" s="43"/>
      <c r="M121" s="43"/>
      <c r="N121" s="211">
        <v>0</v>
      </c>
      <c r="O121" s="277">
        <v>0</v>
      </c>
      <c r="P121" s="277">
        <v>0</v>
      </c>
      <c r="Q121" s="110">
        <f t="shared" si="91"/>
        <v>0</v>
      </c>
      <c r="R121" s="105"/>
      <c r="S121" s="194"/>
    </row>
    <row r="122" spans="1:19" x14ac:dyDescent="0.2">
      <c r="A122" s="59" t="str">
        <f t="shared" si="88"/>
        <v>Santa Monica College</v>
      </c>
      <c r="B122" s="59" t="str">
        <f t="shared" si="89"/>
        <v>Pico Partnership</v>
      </c>
      <c r="D122" s="59" t="s">
        <v>24</v>
      </c>
      <c r="E122" s="29" t="str">
        <f t="shared" si="90"/>
        <v>5.  Fees for Service</v>
      </c>
      <c r="F122" s="125" t="s">
        <v>156</v>
      </c>
      <c r="G122" s="281"/>
      <c r="H122" s="43"/>
      <c r="I122" s="43"/>
      <c r="J122" s="43"/>
      <c r="K122" s="127"/>
      <c r="L122" s="43"/>
      <c r="M122" s="43"/>
      <c r="N122" s="211">
        <v>0</v>
      </c>
      <c r="O122" s="277">
        <v>0</v>
      </c>
      <c r="P122" s="277">
        <v>0</v>
      </c>
      <c r="Q122" s="110">
        <f t="shared" si="91"/>
        <v>0</v>
      </c>
      <c r="R122" s="105"/>
      <c r="S122" s="194"/>
    </row>
    <row r="123" spans="1:19" x14ac:dyDescent="0.2">
      <c r="A123" s="59" t="str">
        <f t="shared" si="88"/>
        <v>Santa Monica College</v>
      </c>
      <c r="B123" s="59" t="str">
        <f t="shared" si="89"/>
        <v>Pico Partnership</v>
      </c>
      <c r="D123" s="59" t="s">
        <v>24</v>
      </c>
      <c r="E123" s="29" t="str">
        <f t="shared" si="90"/>
        <v>6.  Other</v>
      </c>
      <c r="F123" s="125" t="s">
        <v>157</v>
      </c>
      <c r="G123" s="281" t="s">
        <v>158</v>
      </c>
      <c r="H123" s="43"/>
      <c r="I123" s="43"/>
      <c r="J123" s="43"/>
      <c r="K123" s="127"/>
      <c r="L123" s="43"/>
      <c r="M123" s="43"/>
      <c r="N123" s="212">
        <v>92031</v>
      </c>
      <c r="O123" s="282">
        <v>88889</v>
      </c>
      <c r="P123" s="282">
        <v>0</v>
      </c>
      <c r="Q123" s="111">
        <f t="shared" si="91"/>
        <v>88889</v>
      </c>
      <c r="R123" s="105"/>
      <c r="S123" s="195"/>
    </row>
    <row r="124" spans="1:19" ht="15.75" thickBot="1" x14ac:dyDescent="0.3">
      <c r="F124" s="112" t="s">
        <v>159</v>
      </c>
      <c r="G124" s="66"/>
      <c r="H124" s="102" t="s">
        <v>160</v>
      </c>
      <c r="I124" s="103"/>
      <c r="J124" s="103"/>
      <c r="K124" s="103"/>
      <c r="L124" s="103"/>
      <c r="M124" s="103"/>
      <c r="N124" s="113">
        <f>SUM(N118:N123)</f>
        <v>92031</v>
      </c>
      <c r="O124" s="113">
        <f>SUM(O118:O123)</f>
        <v>125593.75</v>
      </c>
      <c r="P124" s="113">
        <f>SUM(P118:P123)</f>
        <v>-36704.75</v>
      </c>
      <c r="Q124" s="113">
        <f>SUM(Q118:Q123)</f>
        <v>88889</v>
      </c>
      <c r="R124" s="106">
        <f>'CASH MATCH'!E18</f>
        <v>88888.989999999991</v>
      </c>
      <c r="S124" s="114">
        <f>IFERROR(Q124-R124,"N/A")</f>
        <v>1.0000000009313226E-2</v>
      </c>
    </row>
    <row r="125" spans="1:19" s="93" customFormat="1" ht="13.5" thickBot="1" x14ac:dyDescent="0.25">
      <c r="A125" s="59"/>
      <c r="B125" s="59"/>
      <c r="C125" s="59"/>
      <c r="D125" s="59"/>
      <c r="E125" s="92"/>
      <c r="F125" s="115"/>
      <c r="G125" s="127"/>
      <c r="H125" s="127"/>
      <c r="I125" s="127"/>
      <c r="J125" s="127"/>
      <c r="K125" s="128"/>
      <c r="L125" s="29"/>
      <c r="M125" s="29"/>
      <c r="N125" s="29"/>
      <c r="O125" s="29"/>
      <c r="P125" s="29"/>
      <c r="Q125" s="29"/>
      <c r="R125" s="28"/>
      <c r="S125" s="27"/>
    </row>
    <row r="126" spans="1:19" s="93" customFormat="1" x14ac:dyDescent="0.2">
      <c r="A126" s="59"/>
      <c r="B126" s="59"/>
      <c r="C126" s="59"/>
      <c r="D126" s="59"/>
      <c r="E126" s="92"/>
      <c r="F126" s="42" t="s">
        <v>161</v>
      </c>
      <c r="G126" s="41"/>
      <c r="H126" s="41"/>
      <c r="I126" s="41"/>
      <c r="J126" s="41"/>
      <c r="K126" s="40"/>
      <c r="L126" s="40"/>
      <c r="M126" s="40"/>
      <c r="N126" s="40"/>
      <c r="O126" s="40"/>
      <c r="P126" s="40"/>
      <c r="Q126" s="40"/>
      <c r="R126" s="39"/>
      <c r="S126" s="38"/>
    </row>
    <row r="127" spans="1:19" ht="13.5" thickBot="1" x14ac:dyDescent="0.25">
      <c r="F127" s="34" t="s">
        <v>162</v>
      </c>
      <c r="G127" s="33"/>
      <c r="H127" s="33"/>
      <c r="I127" s="33"/>
      <c r="J127" s="33"/>
      <c r="K127" s="32"/>
      <c r="L127" s="32"/>
      <c r="M127" s="32"/>
      <c r="N127" s="32"/>
      <c r="O127" s="32"/>
      <c r="P127" s="32"/>
      <c r="Q127" s="32"/>
      <c r="R127" s="31"/>
      <c r="S127" s="30"/>
    </row>
  </sheetData>
  <sheetProtection algorithmName="SHA-512" hashValue="1Zse9smuPK47TES67ei/o2orTKaUNTV3OPZp08o8x6uRy1OZlDN1+CipHIphE34eqHB515ohGJ4yJio4V/qCBA==" saltValue="Lq7MV8ac6Q52xIfTyn6ivA==" spinCount="100000" sheet="1" objects="1" scenarios="1"/>
  <sortState xmlns:xlrd2="http://schemas.microsoft.com/office/spreadsheetml/2017/richdata2" ref="A28:T35">
    <sortCondition descending="1" ref="T28:T35"/>
  </sortState>
  <conditionalFormatting sqref="G118:G123">
    <cfRule type="containsText" dxfId="0" priority="47" operator="containsText" text="VARIANCE">
      <formula>NOT(ISERROR(SEARCH("VARIANCE",G118)))</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10:K111"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R7:R21" xr:uid="{00000000-0002-0000-0600-000001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8:R37" xr:uid="{00000000-0002-0000-0600-000002000000}">
      <formula1>0.9</formula1>
      <formula2>1.1</formula2>
    </dataValidation>
    <dataValidation type="list" allowBlank="1" showInputMessage="1" showErrorMessage="1" sqref="G11" xr:uid="{00000000-0002-0000-0600-000003000000}">
      <formula1>$F$20:$F$22</formula1>
    </dataValidation>
  </dataValidations>
  <pageMargins left="0.7" right="0.7" top="0.75" bottom="0.75" header="0.3" footer="0.3"/>
  <pageSetup scale="53" orientation="landscape"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M50"/>
  <sheetViews>
    <sheetView topLeftCell="F2" zoomScaleNormal="100" workbookViewId="0">
      <selection activeCell="K2" sqref="K2"/>
    </sheetView>
  </sheetViews>
  <sheetFormatPr defaultColWidth="8.85546875" defaultRowHeight="12.75" outlineLevelRow="1" outlineLevelCol="1" x14ac:dyDescent="0.2"/>
  <cols>
    <col min="1" max="1" width="25.85546875" style="140" hidden="1" customWidth="1" outlineLevel="1"/>
    <col min="2" max="2" width="33.7109375" style="140" hidden="1" customWidth="1" outlineLevel="1"/>
    <col min="3" max="3" width="23.28515625" style="140" hidden="1" customWidth="1" outlineLevel="1"/>
    <col min="4" max="4" width="35" style="140" hidden="1" customWidth="1" outlineLevel="1"/>
    <col min="5" max="5" width="44" style="141" hidden="1" customWidth="1" outlineLevel="1"/>
    <col min="6" max="6" width="59.85546875" style="135" customWidth="1" collapsed="1"/>
    <col min="7" max="10" width="17.28515625" style="134" customWidth="1"/>
    <col min="11" max="13" width="17.28515625" style="60" customWidth="1"/>
    <col min="14" max="16384" width="8.85546875" style="136"/>
  </cols>
  <sheetData>
    <row r="1" spans="1:13" hidden="1" outlineLevel="1" x14ac:dyDescent="0.2">
      <c r="A1" s="131" t="s">
        <v>31</v>
      </c>
      <c r="B1" s="131" t="s">
        <v>32</v>
      </c>
      <c r="C1" s="131" t="s">
        <v>33</v>
      </c>
      <c r="D1" s="131" t="s">
        <v>34</v>
      </c>
      <c r="E1" s="132" t="s">
        <v>35</v>
      </c>
      <c r="F1" s="133" t="s">
        <v>36</v>
      </c>
      <c r="G1" s="134" t="s">
        <v>163</v>
      </c>
      <c r="H1" s="134" t="s">
        <v>164</v>
      </c>
      <c r="I1" s="134" t="s">
        <v>165</v>
      </c>
    </row>
    <row r="2" spans="1:13" ht="18" collapsed="1" x14ac:dyDescent="0.2">
      <c r="A2" s="131"/>
      <c r="B2" s="131"/>
      <c r="C2" s="131"/>
      <c r="D2" s="131"/>
      <c r="E2" s="132"/>
      <c r="F2" s="137" t="s">
        <v>50</v>
      </c>
      <c r="G2" s="203"/>
      <c r="H2" s="139"/>
      <c r="I2" s="139"/>
      <c r="J2" s="139"/>
      <c r="K2" s="292"/>
    </row>
    <row r="3" spans="1:13" ht="18" x14ac:dyDescent="0.2">
      <c r="A3" s="131"/>
      <c r="B3" s="131"/>
      <c r="C3" s="131"/>
      <c r="D3" s="131"/>
      <c r="E3" s="132"/>
      <c r="F3" s="137" t="s">
        <v>166</v>
      </c>
      <c r="G3" s="205"/>
      <c r="H3" s="205"/>
      <c r="I3" s="206"/>
      <c r="J3" s="206"/>
      <c r="K3" s="205"/>
      <c r="L3" s="205"/>
      <c r="M3" s="205"/>
    </row>
    <row r="4" spans="1:13" x14ac:dyDescent="0.2">
      <c r="A4" s="131"/>
      <c r="B4" s="131"/>
      <c r="C4" s="131"/>
      <c r="D4" s="131"/>
      <c r="E4" s="132"/>
      <c r="F4" s="138"/>
      <c r="G4" s="203"/>
      <c r="H4" s="139"/>
      <c r="I4" s="139"/>
      <c r="J4" s="139"/>
      <c r="K4" s="204"/>
    </row>
    <row r="5" spans="1:13" s="149" customFormat="1" ht="30" x14ac:dyDescent="0.2">
      <c r="A5" s="146"/>
      <c r="B5" s="146"/>
      <c r="C5" s="146"/>
      <c r="D5" s="147"/>
      <c r="E5" s="148"/>
      <c r="F5" s="235" t="s">
        <v>167</v>
      </c>
      <c r="G5" s="207" t="s">
        <v>168</v>
      </c>
      <c r="H5" s="207" t="s">
        <v>169</v>
      </c>
      <c r="I5" s="207" t="s">
        <v>170</v>
      </c>
      <c r="J5" s="152"/>
      <c r="L5" s="152"/>
      <c r="M5" s="152"/>
    </row>
    <row r="6" spans="1:13" s="149" customFormat="1" ht="14.25" x14ac:dyDescent="0.2">
      <c r="A6" s="146" t="str">
        <f>'PROGRAM BUDGET &amp; FISCAL REPORT'!$G$7</f>
        <v>Santa Monica College</v>
      </c>
      <c r="B6" s="146" t="str">
        <f>'PROGRAM BUDGET &amp; FISCAL REPORT'!$G$8</f>
        <v>Pico Partnership</v>
      </c>
      <c r="C6" s="146"/>
      <c r="D6" s="146" t="s">
        <v>171</v>
      </c>
      <c r="E6" s="149" t="s">
        <v>172</v>
      </c>
      <c r="F6" s="208" t="s">
        <v>173</v>
      </c>
      <c r="G6" s="231">
        <v>50</v>
      </c>
      <c r="H6" s="254">
        <v>54</v>
      </c>
      <c r="I6" s="254">
        <v>57</v>
      </c>
      <c r="J6" s="152"/>
      <c r="L6" s="152"/>
      <c r="M6" s="152"/>
    </row>
    <row r="7" spans="1:13" s="149" customFormat="1" ht="14.25" x14ac:dyDescent="0.2">
      <c r="A7" s="146" t="str">
        <f>'PROGRAM BUDGET &amp; FISCAL REPORT'!$G$7</f>
        <v>Santa Monica College</v>
      </c>
      <c r="B7" s="146" t="str">
        <f>'PROGRAM BUDGET &amp; FISCAL REPORT'!$G$8</f>
        <v>Pico Partnership</v>
      </c>
      <c r="C7" s="146"/>
      <c r="D7" s="146" t="s">
        <v>171</v>
      </c>
      <c r="E7" s="149" t="s">
        <v>172</v>
      </c>
      <c r="F7" s="208" t="s">
        <v>174</v>
      </c>
      <c r="G7" s="231">
        <v>50</v>
      </c>
      <c r="H7" s="254">
        <v>54</v>
      </c>
      <c r="I7" s="254">
        <v>57</v>
      </c>
      <c r="J7" s="152"/>
      <c r="L7" s="152"/>
      <c r="M7" s="152"/>
    </row>
    <row r="8" spans="1:13" s="149" customFormat="1" ht="14.25" x14ac:dyDescent="0.2">
      <c r="A8" s="146" t="str">
        <f>'PROGRAM BUDGET &amp; FISCAL REPORT'!$G$7</f>
        <v>Santa Monica College</v>
      </c>
      <c r="B8" s="146" t="str">
        <f>'PROGRAM BUDGET &amp; FISCAL REPORT'!$G$8</f>
        <v>Pico Partnership</v>
      </c>
      <c r="C8" s="146"/>
      <c r="D8" s="146" t="s">
        <v>171</v>
      </c>
      <c r="E8" s="149" t="s">
        <v>172</v>
      </c>
      <c r="F8" s="208" t="s">
        <v>175</v>
      </c>
      <c r="G8" s="233">
        <v>48</v>
      </c>
      <c r="H8" s="255">
        <v>54</v>
      </c>
      <c r="I8" s="255">
        <v>57</v>
      </c>
      <c r="J8" s="152"/>
      <c r="L8" s="152"/>
      <c r="M8" s="152"/>
    </row>
    <row r="9" spans="1:13" s="149" customFormat="1" ht="14.25" x14ac:dyDescent="0.2">
      <c r="A9" s="146" t="str">
        <f>'PROGRAM BUDGET &amp; FISCAL REPORT'!$G$7</f>
        <v>Santa Monica College</v>
      </c>
      <c r="B9" s="146" t="str">
        <f>'PROGRAM BUDGET &amp; FISCAL REPORT'!$G$8</f>
        <v>Pico Partnership</v>
      </c>
      <c r="C9" s="146"/>
      <c r="D9" s="146" t="s">
        <v>171</v>
      </c>
      <c r="E9" s="149" t="s">
        <v>172</v>
      </c>
      <c r="F9" s="208" t="s">
        <v>176</v>
      </c>
      <c r="G9" s="233">
        <v>0</v>
      </c>
      <c r="H9" s="255" t="s">
        <v>177</v>
      </c>
      <c r="I9" s="255">
        <v>1</v>
      </c>
      <c r="J9" s="152"/>
      <c r="L9" s="152"/>
      <c r="M9" s="152"/>
    </row>
    <row r="10" spans="1:13" s="149" customFormat="1" ht="14.25" x14ac:dyDescent="0.2">
      <c r="A10" s="146" t="str">
        <f>'PROGRAM BUDGET &amp; FISCAL REPORT'!$G$7</f>
        <v>Santa Monica College</v>
      </c>
      <c r="B10" s="146" t="str">
        <f>'PROGRAM BUDGET &amp; FISCAL REPORT'!$G$8</f>
        <v>Pico Partnership</v>
      </c>
      <c r="C10" s="146"/>
      <c r="D10" s="146" t="s">
        <v>171</v>
      </c>
      <c r="E10" s="149" t="s">
        <v>172</v>
      </c>
      <c r="F10" s="208" t="s">
        <v>178</v>
      </c>
      <c r="G10" s="233">
        <v>5</v>
      </c>
      <c r="H10" s="255">
        <v>3</v>
      </c>
      <c r="I10" s="255">
        <v>3</v>
      </c>
      <c r="J10" s="152"/>
      <c r="L10" s="152"/>
      <c r="M10" s="152"/>
    </row>
    <row r="11" spans="1:13" s="149" customFormat="1" ht="14.25" x14ac:dyDescent="0.2">
      <c r="A11" s="146" t="str">
        <f>'PROGRAM BUDGET &amp; FISCAL REPORT'!$G$7</f>
        <v>Santa Monica College</v>
      </c>
      <c r="B11" s="146" t="str">
        <f>'PROGRAM BUDGET &amp; FISCAL REPORT'!$G$8</f>
        <v>Pico Partnership</v>
      </c>
      <c r="C11" s="146"/>
      <c r="D11" s="146" t="s">
        <v>171</v>
      </c>
      <c r="E11" s="149" t="s">
        <v>172</v>
      </c>
      <c r="F11" s="208" t="s">
        <v>179</v>
      </c>
      <c r="G11" s="233" t="s">
        <v>177</v>
      </c>
      <c r="H11" s="255" t="s">
        <v>177</v>
      </c>
      <c r="I11" s="255">
        <v>1</v>
      </c>
      <c r="J11" s="152"/>
      <c r="L11" s="152"/>
      <c r="M11" s="152"/>
    </row>
    <row r="12" spans="1:13" s="149" customFormat="1" ht="14.25" x14ac:dyDescent="0.2">
      <c r="A12" s="146" t="str">
        <f>'PROGRAM BUDGET &amp; FISCAL REPORT'!$G$7</f>
        <v>Santa Monica College</v>
      </c>
      <c r="B12" s="146" t="str">
        <f>'PROGRAM BUDGET &amp; FISCAL REPORT'!$G$8</f>
        <v>Pico Partnership</v>
      </c>
      <c r="C12" s="146"/>
      <c r="D12" s="146" t="s">
        <v>171</v>
      </c>
      <c r="E12" s="149" t="s">
        <v>172</v>
      </c>
      <c r="F12" s="208" t="s">
        <v>180</v>
      </c>
      <c r="G12" s="233">
        <v>33</v>
      </c>
      <c r="H12" s="255">
        <v>36</v>
      </c>
      <c r="I12" s="255">
        <v>41</v>
      </c>
      <c r="J12" s="152"/>
      <c r="L12" s="152"/>
      <c r="M12" s="152"/>
    </row>
    <row r="13" spans="1:13" s="149" customFormat="1" ht="14.25" x14ac:dyDescent="0.2">
      <c r="A13" s="146" t="str">
        <f>'PROGRAM BUDGET &amp; FISCAL REPORT'!$G$7</f>
        <v>Santa Monica College</v>
      </c>
      <c r="B13" s="146" t="str">
        <f>'PROGRAM BUDGET &amp; FISCAL REPORT'!$G$8</f>
        <v>Pico Partnership</v>
      </c>
      <c r="C13" s="146"/>
      <c r="D13" s="146" t="s">
        <v>171</v>
      </c>
      <c r="E13" s="149" t="s">
        <v>172</v>
      </c>
      <c r="F13" s="208" t="s">
        <v>181</v>
      </c>
      <c r="G13" s="233">
        <v>5</v>
      </c>
      <c r="H13" s="255" t="s">
        <v>177</v>
      </c>
      <c r="I13" s="255">
        <v>1</v>
      </c>
      <c r="J13" s="152"/>
      <c r="L13" s="152"/>
      <c r="M13" s="152"/>
    </row>
    <row r="14" spans="1:13" s="149" customFormat="1" ht="14.25" x14ac:dyDescent="0.2">
      <c r="A14" s="146"/>
      <c r="B14" s="146"/>
      <c r="C14" s="146"/>
      <c r="D14" s="146"/>
      <c r="F14" s="150"/>
      <c r="G14" s="151"/>
      <c r="H14" s="151"/>
      <c r="I14" s="151"/>
      <c r="J14" s="152"/>
      <c r="L14" s="152"/>
      <c r="M14" s="152"/>
    </row>
    <row r="15" spans="1:13" s="149" customFormat="1" ht="30" x14ac:dyDescent="0.2">
      <c r="A15" s="146"/>
      <c r="B15" s="146"/>
      <c r="C15" s="146"/>
      <c r="D15" s="146"/>
      <c r="F15" s="235" t="s">
        <v>182</v>
      </c>
      <c r="G15" s="207" t="s">
        <v>168</v>
      </c>
      <c r="H15" s="207" t="s">
        <v>169</v>
      </c>
      <c r="I15" s="207" t="s">
        <v>170</v>
      </c>
      <c r="J15" s="152"/>
      <c r="L15" s="152"/>
      <c r="M15" s="152"/>
    </row>
    <row r="16" spans="1:13" s="149" customFormat="1" ht="14.25" x14ac:dyDescent="0.2">
      <c r="A16" s="146" t="str">
        <f>'PROGRAM BUDGET &amp; FISCAL REPORT'!$G$7</f>
        <v>Santa Monica College</v>
      </c>
      <c r="B16" s="146" t="str">
        <f>'PROGRAM BUDGET &amp; FISCAL REPORT'!$G$8</f>
        <v>Pico Partnership</v>
      </c>
      <c r="C16" s="146"/>
      <c r="D16" s="146" t="s">
        <v>171</v>
      </c>
      <c r="E16" s="149" t="s">
        <v>183</v>
      </c>
      <c r="F16" s="208" t="s">
        <v>184</v>
      </c>
      <c r="G16" s="233">
        <v>3</v>
      </c>
      <c r="H16" s="255">
        <v>3</v>
      </c>
      <c r="I16" s="255">
        <v>3</v>
      </c>
      <c r="J16" s="152"/>
      <c r="L16" s="152"/>
      <c r="M16" s="152"/>
    </row>
    <row r="17" spans="1:13" s="149" customFormat="1" ht="14.25" x14ac:dyDescent="0.2">
      <c r="A17" s="146" t="str">
        <f>'PROGRAM BUDGET &amp; FISCAL REPORT'!$G$7</f>
        <v>Santa Monica College</v>
      </c>
      <c r="B17" s="146" t="str">
        <f>'PROGRAM BUDGET &amp; FISCAL REPORT'!$G$8</f>
        <v>Pico Partnership</v>
      </c>
      <c r="C17" s="146"/>
      <c r="D17" s="146" t="s">
        <v>171</v>
      </c>
      <c r="E17" s="149" t="s">
        <v>183</v>
      </c>
      <c r="F17" s="208" t="s">
        <v>185</v>
      </c>
      <c r="G17" s="233">
        <v>1</v>
      </c>
      <c r="H17" s="255">
        <v>1</v>
      </c>
      <c r="I17" s="255">
        <v>1</v>
      </c>
      <c r="J17" s="152"/>
      <c r="L17" s="152"/>
      <c r="M17" s="152"/>
    </row>
    <row r="18" spans="1:13" s="149" customFormat="1" ht="14.25" x14ac:dyDescent="0.2">
      <c r="A18" s="146" t="str">
        <f>'PROGRAM BUDGET &amp; FISCAL REPORT'!$G$7</f>
        <v>Santa Monica College</v>
      </c>
      <c r="B18" s="146" t="str">
        <f>'PROGRAM BUDGET &amp; FISCAL REPORT'!$G$8</f>
        <v>Pico Partnership</v>
      </c>
      <c r="C18" s="146"/>
      <c r="D18" s="146" t="s">
        <v>171</v>
      </c>
      <c r="E18" s="149" t="s">
        <v>183</v>
      </c>
      <c r="F18" s="208" t="s">
        <v>186</v>
      </c>
      <c r="G18" s="233">
        <v>36</v>
      </c>
      <c r="H18" s="255">
        <v>39</v>
      </c>
      <c r="I18" s="255">
        <v>42</v>
      </c>
      <c r="J18" s="152"/>
      <c r="L18" s="152"/>
      <c r="M18" s="152"/>
    </row>
    <row r="19" spans="1:13" s="149" customFormat="1" ht="14.25" x14ac:dyDescent="0.2">
      <c r="A19" s="146" t="str">
        <f>'PROGRAM BUDGET &amp; FISCAL REPORT'!$G$7</f>
        <v>Santa Monica College</v>
      </c>
      <c r="B19" s="146" t="str">
        <f>'PROGRAM BUDGET &amp; FISCAL REPORT'!$G$8</f>
        <v>Pico Partnership</v>
      </c>
      <c r="C19" s="146"/>
      <c r="D19" s="146" t="s">
        <v>171</v>
      </c>
      <c r="E19" s="149" t="s">
        <v>183</v>
      </c>
      <c r="F19" s="208" t="s">
        <v>187</v>
      </c>
      <c r="G19" s="233">
        <v>5</v>
      </c>
      <c r="H19" s="255">
        <v>7</v>
      </c>
      <c r="I19" s="255">
        <v>7</v>
      </c>
      <c r="J19" s="152"/>
      <c r="L19" s="152"/>
      <c r="M19" s="152"/>
    </row>
    <row r="20" spans="1:13" s="149" customFormat="1" ht="14.25" x14ac:dyDescent="0.2">
      <c r="A20" s="146" t="str">
        <f>'PROGRAM BUDGET &amp; FISCAL REPORT'!$G$7</f>
        <v>Santa Monica College</v>
      </c>
      <c r="B20" s="146" t="str">
        <f>'PROGRAM BUDGET &amp; FISCAL REPORT'!$G$8</f>
        <v>Pico Partnership</v>
      </c>
      <c r="C20" s="146"/>
      <c r="D20" s="146" t="s">
        <v>171</v>
      </c>
      <c r="E20" s="149" t="s">
        <v>183</v>
      </c>
      <c r="F20" s="208" t="s">
        <v>188</v>
      </c>
      <c r="G20" s="233">
        <v>3</v>
      </c>
      <c r="H20" s="255">
        <v>1</v>
      </c>
      <c r="I20" s="255">
        <v>1</v>
      </c>
      <c r="J20" s="152"/>
      <c r="L20" s="152"/>
      <c r="M20" s="152"/>
    </row>
    <row r="21" spans="1:13" s="149" customFormat="1" ht="14.25" x14ac:dyDescent="0.2">
      <c r="A21" s="146" t="str">
        <f>'PROGRAM BUDGET &amp; FISCAL REPORT'!$G$7</f>
        <v>Santa Monica College</v>
      </c>
      <c r="B21" s="146" t="str">
        <f>'PROGRAM BUDGET &amp; FISCAL REPORT'!$G$8</f>
        <v>Pico Partnership</v>
      </c>
      <c r="C21" s="146"/>
      <c r="D21" s="146" t="s">
        <v>171</v>
      </c>
      <c r="E21" s="149" t="s">
        <v>183</v>
      </c>
      <c r="F21" s="208" t="s">
        <v>189</v>
      </c>
      <c r="G21" s="233">
        <v>0</v>
      </c>
      <c r="H21" s="255">
        <v>0</v>
      </c>
      <c r="I21" s="255">
        <v>0</v>
      </c>
      <c r="J21" s="152"/>
      <c r="L21" s="152"/>
      <c r="M21" s="152"/>
    </row>
    <row r="22" spans="1:13" s="149" customFormat="1" ht="14.25" x14ac:dyDescent="0.2">
      <c r="A22" s="146" t="str">
        <f>'PROGRAM BUDGET &amp; FISCAL REPORT'!$G$7</f>
        <v>Santa Monica College</v>
      </c>
      <c r="B22" s="146" t="str">
        <f>'PROGRAM BUDGET &amp; FISCAL REPORT'!$G$8</f>
        <v>Pico Partnership</v>
      </c>
      <c r="C22" s="146"/>
      <c r="D22" s="146" t="s">
        <v>171</v>
      </c>
      <c r="E22" s="149" t="s">
        <v>183</v>
      </c>
      <c r="F22" s="208" t="s">
        <v>190</v>
      </c>
      <c r="G22" s="233">
        <v>2</v>
      </c>
      <c r="H22" s="255">
        <v>3</v>
      </c>
      <c r="I22" s="255">
        <v>3</v>
      </c>
      <c r="J22" s="152"/>
      <c r="L22" s="152"/>
      <c r="M22" s="152"/>
    </row>
    <row r="23" spans="1:13" s="149" customFormat="1" ht="15" x14ac:dyDescent="0.2">
      <c r="A23" s="146"/>
      <c r="B23" s="146"/>
      <c r="C23" s="146"/>
      <c r="D23" s="146"/>
      <c r="F23" s="209" t="s">
        <v>191</v>
      </c>
      <c r="G23" s="199">
        <f>SUM(G16:G22)</f>
        <v>50</v>
      </c>
      <c r="H23" s="199">
        <f>SUM(H16:H22)</f>
        <v>54</v>
      </c>
      <c r="I23" s="199">
        <f>SUM(I16:I22)</f>
        <v>57</v>
      </c>
      <c r="J23" s="152"/>
      <c r="L23" s="152"/>
      <c r="M23" s="152"/>
    </row>
    <row r="24" spans="1:13" s="149" customFormat="1" ht="14.25" x14ac:dyDescent="0.2">
      <c r="A24" s="146"/>
      <c r="B24" s="146"/>
      <c r="C24" s="146"/>
      <c r="D24" s="146"/>
      <c r="G24" s="151"/>
      <c r="H24" s="151"/>
      <c r="I24" s="151"/>
      <c r="J24" s="152"/>
      <c r="L24" s="152"/>
      <c r="M24" s="152"/>
    </row>
    <row r="25" spans="1:13" s="149" customFormat="1" ht="30" x14ac:dyDescent="0.2">
      <c r="A25" s="146"/>
      <c r="B25" s="146"/>
      <c r="C25" s="146"/>
      <c r="D25" s="146"/>
      <c r="F25" s="235" t="s">
        <v>192</v>
      </c>
      <c r="G25" s="207" t="s">
        <v>168</v>
      </c>
      <c r="H25" s="207" t="s">
        <v>169</v>
      </c>
      <c r="I25" s="207" t="s">
        <v>170</v>
      </c>
      <c r="J25" s="152"/>
      <c r="L25" s="152"/>
      <c r="M25" s="152"/>
    </row>
    <row r="26" spans="1:13" s="149" customFormat="1" ht="14.25" x14ac:dyDescent="0.2">
      <c r="A26" s="146" t="str">
        <f>'PROGRAM BUDGET &amp; FISCAL REPORT'!$G$7</f>
        <v>Santa Monica College</v>
      </c>
      <c r="B26" s="146" t="str">
        <f>'PROGRAM BUDGET &amp; FISCAL REPORT'!$G$8</f>
        <v>Pico Partnership</v>
      </c>
      <c r="C26" s="146"/>
      <c r="D26" s="146" t="s">
        <v>171</v>
      </c>
      <c r="E26" s="149" t="s">
        <v>193</v>
      </c>
      <c r="F26" s="208">
        <v>90401</v>
      </c>
      <c r="G26" s="233" t="s">
        <v>177</v>
      </c>
      <c r="H26" s="255">
        <v>2</v>
      </c>
      <c r="I26" s="255">
        <v>2</v>
      </c>
      <c r="J26" s="152"/>
      <c r="L26" s="152"/>
      <c r="M26" s="152"/>
    </row>
    <row r="27" spans="1:13" s="149" customFormat="1" ht="14.25" x14ac:dyDescent="0.2">
      <c r="A27" s="146" t="str">
        <f>'PROGRAM BUDGET &amp; FISCAL REPORT'!$G$7</f>
        <v>Santa Monica College</v>
      </c>
      <c r="B27" s="146" t="str">
        <f>'PROGRAM BUDGET &amp; FISCAL REPORT'!$G$8</f>
        <v>Pico Partnership</v>
      </c>
      <c r="C27" s="146"/>
      <c r="D27" s="146" t="s">
        <v>171</v>
      </c>
      <c r="E27" s="149" t="s">
        <v>193</v>
      </c>
      <c r="F27" s="208">
        <v>90402</v>
      </c>
      <c r="G27" s="233" t="s">
        <v>177</v>
      </c>
      <c r="H27" s="255">
        <v>0</v>
      </c>
      <c r="I27" s="255">
        <v>0</v>
      </c>
      <c r="J27" s="152"/>
      <c r="L27" s="152"/>
      <c r="M27" s="152"/>
    </row>
    <row r="28" spans="1:13" s="149" customFormat="1" ht="14.25" x14ac:dyDescent="0.2">
      <c r="A28" s="146" t="str">
        <f>'PROGRAM BUDGET &amp; FISCAL REPORT'!$G$7</f>
        <v>Santa Monica College</v>
      </c>
      <c r="B28" s="146" t="str">
        <f>'PROGRAM BUDGET &amp; FISCAL REPORT'!$G$8</f>
        <v>Pico Partnership</v>
      </c>
      <c r="C28" s="146"/>
      <c r="D28" s="146" t="s">
        <v>171</v>
      </c>
      <c r="E28" s="149" t="s">
        <v>193</v>
      </c>
      <c r="F28" s="208">
        <v>90403</v>
      </c>
      <c r="G28" s="233" t="s">
        <v>177</v>
      </c>
      <c r="H28" s="255">
        <v>1</v>
      </c>
      <c r="I28" s="255">
        <v>1</v>
      </c>
      <c r="J28" s="152"/>
      <c r="L28" s="152"/>
      <c r="M28" s="152"/>
    </row>
    <row r="29" spans="1:13" s="149" customFormat="1" ht="14.25" x14ac:dyDescent="0.2">
      <c r="A29" s="146" t="str">
        <f>'PROGRAM BUDGET &amp; FISCAL REPORT'!$G$7</f>
        <v>Santa Monica College</v>
      </c>
      <c r="B29" s="146" t="str">
        <f>'PROGRAM BUDGET &amp; FISCAL REPORT'!$G$8</f>
        <v>Pico Partnership</v>
      </c>
      <c r="C29" s="146"/>
      <c r="D29" s="146" t="s">
        <v>171</v>
      </c>
      <c r="E29" s="149" t="s">
        <v>193</v>
      </c>
      <c r="F29" s="208">
        <v>90404</v>
      </c>
      <c r="G29" s="233" t="s">
        <v>177</v>
      </c>
      <c r="H29" s="255">
        <v>36</v>
      </c>
      <c r="I29" s="255">
        <v>35</v>
      </c>
      <c r="J29" s="152"/>
      <c r="L29" s="152"/>
      <c r="M29" s="152"/>
    </row>
    <row r="30" spans="1:13" s="149" customFormat="1" ht="14.25" x14ac:dyDescent="0.2">
      <c r="A30" s="146" t="str">
        <f>'PROGRAM BUDGET &amp; FISCAL REPORT'!$G$7</f>
        <v>Santa Monica College</v>
      </c>
      <c r="B30" s="146" t="str">
        <f>'PROGRAM BUDGET &amp; FISCAL REPORT'!$G$8</f>
        <v>Pico Partnership</v>
      </c>
      <c r="C30" s="146"/>
      <c r="D30" s="146" t="s">
        <v>171</v>
      </c>
      <c r="E30" s="149" t="s">
        <v>193</v>
      </c>
      <c r="F30" s="208">
        <v>90405</v>
      </c>
      <c r="G30" s="233" t="s">
        <v>177</v>
      </c>
      <c r="H30" s="255">
        <v>6</v>
      </c>
      <c r="I30" s="255">
        <v>6</v>
      </c>
      <c r="J30" s="152"/>
      <c r="L30" s="152"/>
      <c r="M30" s="152"/>
    </row>
    <row r="31" spans="1:13" s="149" customFormat="1" ht="14.25" x14ac:dyDescent="0.2">
      <c r="A31" s="146" t="str">
        <f>'PROGRAM BUDGET &amp; FISCAL REPORT'!$G$7</f>
        <v>Santa Monica College</v>
      </c>
      <c r="B31" s="146" t="str">
        <f>'PROGRAM BUDGET &amp; FISCAL REPORT'!$G$8</f>
        <v>Pico Partnership</v>
      </c>
      <c r="C31" s="146"/>
      <c r="D31" s="146" t="s">
        <v>171</v>
      </c>
      <c r="E31" s="149" t="s">
        <v>193</v>
      </c>
      <c r="F31" s="208" t="s">
        <v>194</v>
      </c>
      <c r="G31" s="233" t="s">
        <v>177</v>
      </c>
      <c r="H31" s="255">
        <v>9</v>
      </c>
      <c r="I31" s="255">
        <v>13</v>
      </c>
      <c r="J31" s="152"/>
      <c r="L31" s="152"/>
      <c r="M31" s="152"/>
    </row>
    <row r="32" spans="1:13" s="149" customFormat="1" ht="15" x14ac:dyDescent="0.2">
      <c r="A32" s="146"/>
      <c r="B32" s="146"/>
      <c r="C32" s="146"/>
      <c r="D32" s="146"/>
      <c r="F32" s="209" t="s">
        <v>191</v>
      </c>
      <c r="G32" s="199">
        <f>SUM(G26:G31)</f>
        <v>0</v>
      </c>
      <c r="H32" s="199">
        <f>SUM(H26:H31)</f>
        <v>54</v>
      </c>
      <c r="I32" s="199">
        <f>SUM(I26:I31)</f>
        <v>57</v>
      </c>
      <c r="J32" s="152"/>
      <c r="L32" s="152"/>
      <c r="M32" s="152"/>
    </row>
    <row r="33" spans="1:13" s="149" customFormat="1" ht="15" x14ac:dyDescent="0.2">
      <c r="A33" s="147"/>
      <c r="B33" s="147"/>
      <c r="C33" s="146"/>
      <c r="D33" s="146"/>
      <c r="G33" s="152"/>
      <c r="H33" s="151"/>
      <c r="I33" s="151"/>
      <c r="J33" s="152"/>
      <c r="L33" s="152"/>
      <c r="M33" s="152"/>
    </row>
    <row r="34" spans="1:13" s="149" customFormat="1" ht="30" x14ac:dyDescent="0.2">
      <c r="A34" s="146"/>
      <c r="B34" s="146"/>
      <c r="C34" s="146"/>
      <c r="D34" s="146"/>
      <c r="G34" s="207" t="s">
        <v>169</v>
      </c>
      <c r="H34" s="207" t="s">
        <v>169</v>
      </c>
      <c r="I34" s="207" t="s">
        <v>169</v>
      </c>
      <c r="J34" s="207" t="s">
        <v>170</v>
      </c>
      <c r="K34" s="207" t="s">
        <v>170</v>
      </c>
      <c r="L34" s="207" t="s">
        <v>170</v>
      </c>
    </row>
    <row r="35" spans="1:13" s="149" customFormat="1" ht="30" x14ac:dyDescent="0.2">
      <c r="A35" s="146"/>
      <c r="B35" s="146"/>
      <c r="C35" s="146"/>
      <c r="D35" s="146"/>
      <c r="F35" s="235" t="s">
        <v>195</v>
      </c>
      <c r="G35" s="207" t="s">
        <v>196</v>
      </c>
      <c r="H35" s="207" t="s">
        <v>197</v>
      </c>
      <c r="I35" s="207" t="s">
        <v>198</v>
      </c>
      <c r="J35" s="207" t="s">
        <v>196</v>
      </c>
      <c r="K35" s="207" t="s">
        <v>197</v>
      </c>
      <c r="L35" s="207" t="s">
        <v>198</v>
      </c>
    </row>
    <row r="36" spans="1:13" s="149" customFormat="1" ht="14.25" x14ac:dyDescent="0.2">
      <c r="A36" s="146" t="str">
        <f>'PROGRAM BUDGET &amp; FISCAL REPORT'!$G$7</f>
        <v>Santa Monica College</v>
      </c>
      <c r="B36" s="146" t="str">
        <f>'PROGRAM BUDGET &amp; FISCAL REPORT'!$G$8</f>
        <v>Pico Partnership</v>
      </c>
      <c r="C36" s="146" t="s">
        <v>164</v>
      </c>
      <c r="D36" s="146" t="s">
        <v>171</v>
      </c>
      <c r="E36" s="149" t="s">
        <v>199</v>
      </c>
      <c r="F36" s="200" t="s">
        <v>200</v>
      </c>
      <c r="G36" s="256"/>
      <c r="H36" s="257"/>
      <c r="I36" s="257"/>
      <c r="J36" s="256"/>
      <c r="K36" s="257"/>
      <c r="L36" s="257"/>
    </row>
    <row r="37" spans="1:13" s="149" customFormat="1" ht="14.25" x14ac:dyDescent="0.2">
      <c r="A37" s="146" t="str">
        <f>'PROGRAM BUDGET &amp; FISCAL REPORT'!$G$7</f>
        <v>Santa Monica College</v>
      </c>
      <c r="B37" s="146" t="str">
        <f>'PROGRAM BUDGET &amp; FISCAL REPORT'!$G$8</f>
        <v>Pico Partnership</v>
      </c>
      <c r="C37" s="146" t="s">
        <v>164</v>
      </c>
      <c r="D37" s="146" t="s">
        <v>171</v>
      </c>
      <c r="E37" s="149" t="s">
        <v>199</v>
      </c>
      <c r="F37" s="201" t="s">
        <v>201</v>
      </c>
      <c r="G37" s="256"/>
      <c r="H37" s="257"/>
      <c r="I37" s="257"/>
      <c r="J37" s="256"/>
      <c r="K37" s="257"/>
      <c r="L37" s="257"/>
    </row>
    <row r="38" spans="1:13" s="149" customFormat="1" ht="14.25" x14ac:dyDescent="0.2">
      <c r="A38" s="146" t="str">
        <f>'PROGRAM BUDGET &amp; FISCAL REPORT'!$G$7</f>
        <v>Santa Monica College</v>
      </c>
      <c r="B38" s="146" t="str">
        <f>'PROGRAM BUDGET &amp; FISCAL REPORT'!$G$8</f>
        <v>Pico Partnership</v>
      </c>
      <c r="C38" s="146" t="s">
        <v>164</v>
      </c>
      <c r="D38" s="146" t="s">
        <v>171</v>
      </c>
      <c r="E38" s="149" t="s">
        <v>199</v>
      </c>
      <c r="F38" s="201" t="s">
        <v>202</v>
      </c>
      <c r="G38" s="256">
        <v>1</v>
      </c>
      <c r="H38" s="257">
        <v>1</v>
      </c>
      <c r="I38" s="257"/>
      <c r="J38" s="256">
        <v>1</v>
      </c>
      <c r="K38" s="257"/>
      <c r="L38" s="257"/>
    </row>
    <row r="39" spans="1:13" s="149" customFormat="1" ht="14.25" x14ac:dyDescent="0.2">
      <c r="A39" s="146" t="str">
        <f>'PROGRAM BUDGET &amp; FISCAL REPORT'!$G$7</f>
        <v>Santa Monica College</v>
      </c>
      <c r="B39" s="146" t="str">
        <f>'PROGRAM BUDGET &amp; FISCAL REPORT'!$G$8</f>
        <v>Pico Partnership</v>
      </c>
      <c r="C39" s="146" t="s">
        <v>164</v>
      </c>
      <c r="D39" s="146" t="s">
        <v>171</v>
      </c>
      <c r="E39" s="149" t="s">
        <v>199</v>
      </c>
      <c r="F39" s="200" t="s">
        <v>203</v>
      </c>
      <c r="G39" s="256">
        <v>18</v>
      </c>
      <c r="H39" s="257">
        <v>33</v>
      </c>
      <c r="I39" s="257">
        <v>1</v>
      </c>
      <c r="J39" s="256">
        <v>19</v>
      </c>
      <c r="K39" s="257">
        <v>35</v>
      </c>
      <c r="L39" s="257">
        <v>1</v>
      </c>
    </row>
    <row r="40" spans="1:13" s="149" customFormat="1" ht="14.25" x14ac:dyDescent="0.2">
      <c r="A40" s="146" t="str">
        <f>'PROGRAM BUDGET &amp; FISCAL REPORT'!$G$7</f>
        <v>Santa Monica College</v>
      </c>
      <c r="B40" s="146" t="str">
        <f>'PROGRAM BUDGET &amp; FISCAL REPORT'!$G$8</f>
        <v>Pico Partnership</v>
      </c>
      <c r="C40" s="146" t="s">
        <v>164</v>
      </c>
      <c r="D40" s="146" t="s">
        <v>171</v>
      </c>
      <c r="E40" s="149" t="s">
        <v>199</v>
      </c>
      <c r="F40" s="200" t="s">
        <v>204</v>
      </c>
      <c r="G40" s="256"/>
      <c r="H40" s="257"/>
      <c r="I40" s="257"/>
      <c r="J40" s="256"/>
      <c r="K40" s="257">
        <v>1</v>
      </c>
      <c r="L40" s="257"/>
    </row>
    <row r="41" spans="1:13" s="149" customFormat="1" ht="14.25" x14ac:dyDescent="0.2">
      <c r="A41" s="146" t="str">
        <f>'PROGRAM BUDGET &amp; FISCAL REPORT'!$G$7</f>
        <v>Santa Monica College</v>
      </c>
      <c r="B41" s="146" t="str">
        <f>'PROGRAM BUDGET &amp; FISCAL REPORT'!$G$8</f>
        <v>Pico Partnership</v>
      </c>
      <c r="C41" s="146" t="s">
        <v>164</v>
      </c>
      <c r="D41" s="146" t="s">
        <v>171</v>
      </c>
      <c r="E41" s="149" t="s">
        <v>199</v>
      </c>
      <c r="F41" s="200" t="s">
        <v>205</v>
      </c>
      <c r="G41" s="256"/>
      <c r="H41" s="257"/>
      <c r="I41" s="257"/>
      <c r="J41" s="256"/>
      <c r="K41" s="257"/>
      <c r="L41" s="257"/>
    </row>
    <row r="42" spans="1:13" s="149" customFormat="1" ht="14.25" x14ac:dyDescent="0.2">
      <c r="A42" s="146" t="str">
        <f>'PROGRAM BUDGET &amp; FISCAL REPORT'!$G$7</f>
        <v>Santa Monica College</v>
      </c>
      <c r="B42" s="146" t="str">
        <f>'PROGRAM BUDGET &amp; FISCAL REPORT'!$G$8</f>
        <v>Pico Partnership</v>
      </c>
      <c r="C42" s="146" t="s">
        <v>164</v>
      </c>
      <c r="D42" s="146" t="s">
        <v>171</v>
      </c>
      <c r="E42" s="149" t="s">
        <v>199</v>
      </c>
      <c r="F42" s="200" t="s">
        <v>206</v>
      </c>
      <c r="G42" s="256"/>
      <c r="H42" s="257"/>
      <c r="I42" s="257"/>
      <c r="J42" s="256"/>
      <c r="K42" s="257"/>
      <c r="L42" s="257"/>
    </row>
    <row r="43" spans="1:13" s="149" customFormat="1" ht="14.25" x14ac:dyDescent="0.2">
      <c r="A43" s="146" t="str">
        <f>'PROGRAM BUDGET &amp; FISCAL REPORT'!$G$7</f>
        <v>Santa Monica College</v>
      </c>
      <c r="B43" s="146" t="str">
        <f>'PROGRAM BUDGET &amp; FISCAL REPORT'!$G$8</f>
        <v>Pico Partnership</v>
      </c>
      <c r="C43" s="146" t="s">
        <v>164</v>
      </c>
      <c r="D43" s="146" t="s">
        <v>171</v>
      </c>
      <c r="E43" s="149" t="s">
        <v>199</v>
      </c>
      <c r="F43" s="200" t="s">
        <v>207</v>
      </c>
      <c r="G43" s="256"/>
      <c r="H43" s="257"/>
      <c r="I43" s="257"/>
      <c r="J43" s="256"/>
      <c r="K43" s="257"/>
      <c r="L43" s="257"/>
    </row>
    <row r="44" spans="1:13" s="149" customFormat="1" ht="14.25" x14ac:dyDescent="0.2">
      <c r="A44" s="146" t="str">
        <f>'PROGRAM BUDGET &amp; FISCAL REPORT'!$G$7</f>
        <v>Santa Monica College</v>
      </c>
      <c r="B44" s="146" t="str">
        <f>'PROGRAM BUDGET &amp; FISCAL REPORT'!$G$8</f>
        <v>Pico Partnership</v>
      </c>
      <c r="C44" s="146" t="s">
        <v>164</v>
      </c>
      <c r="D44" s="146" t="s">
        <v>171</v>
      </c>
      <c r="E44" s="149" t="s">
        <v>199</v>
      </c>
      <c r="F44" s="200" t="s">
        <v>208</v>
      </c>
      <c r="G44" s="256"/>
      <c r="H44" s="257"/>
      <c r="I44" s="257"/>
      <c r="J44" s="256"/>
      <c r="K44" s="257"/>
      <c r="L44" s="257"/>
    </row>
    <row r="45" spans="1:13" s="149" customFormat="1" ht="14.25" x14ac:dyDescent="0.2">
      <c r="A45" s="146" t="str">
        <f>'PROGRAM BUDGET &amp; FISCAL REPORT'!$G$7</f>
        <v>Santa Monica College</v>
      </c>
      <c r="B45" s="146" t="str">
        <f>'PROGRAM BUDGET &amp; FISCAL REPORT'!$G$8</f>
        <v>Pico Partnership</v>
      </c>
      <c r="C45" s="146" t="s">
        <v>164</v>
      </c>
      <c r="D45" s="146" t="s">
        <v>171</v>
      </c>
      <c r="E45" s="149" t="s">
        <v>199</v>
      </c>
      <c r="F45" s="200" t="s">
        <v>209</v>
      </c>
      <c r="G45" s="256"/>
      <c r="H45" s="257"/>
      <c r="I45" s="257"/>
      <c r="J45" s="256"/>
      <c r="K45" s="257"/>
      <c r="L45" s="257"/>
    </row>
    <row r="46" spans="1:13" s="149" customFormat="1" ht="14.25" x14ac:dyDescent="0.2">
      <c r="A46" s="146" t="str">
        <f>'PROGRAM BUDGET &amp; FISCAL REPORT'!$G$7</f>
        <v>Santa Monica College</v>
      </c>
      <c r="B46" s="146" t="str">
        <f>'PROGRAM BUDGET &amp; FISCAL REPORT'!$G$8</f>
        <v>Pico Partnership</v>
      </c>
      <c r="C46" s="146" t="s">
        <v>164</v>
      </c>
      <c r="D46" s="146" t="s">
        <v>171</v>
      </c>
      <c r="E46" s="149" t="s">
        <v>199</v>
      </c>
      <c r="F46" s="200" t="s">
        <v>210</v>
      </c>
      <c r="G46" s="256"/>
      <c r="H46" s="257"/>
      <c r="I46" s="257"/>
      <c r="J46" s="256"/>
      <c r="K46" s="257"/>
      <c r="L46" s="257"/>
    </row>
    <row r="47" spans="1:13" ht="15" x14ac:dyDescent="0.2">
      <c r="E47" s="136"/>
      <c r="F47" s="202" t="s">
        <v>191</v>
      </c>
      <c r="G47" s="234">
        <f t="shared" ref="G47:L47" si="0">SUM(G36:G46)</f>
        <v>19</v>
      </c>
      <c r="H47" s="234">
        <f t="shared" si="0"/>
        <v>34</v>
      </c>
      <c r="I47" s="234">
        <f t="shared" si="0"/>
        <v>1</v>
      </c>
      <c r="J47" s="234">
        <f t="shared" si="0"/>
        <v>20</v>
      </c>
      <c r="K47" s="234">
        <f t="shared" si="0"/>
        <v>36</v>
      </c>
      <c r="L47" s="234">
        <f t="shared" si="0"/>
        <v>1</v>
      </c>
      <c r="M47" s="136"/>
    </row>
    <row r="48" spans="1:13" x14ac:dyDescent="0.2">
      <c r="E48" s="136"/>
      <c r="F48" s="140"/>
      <c r="G48" s="142"/>
      <c r="H48" s="60"/>
      <c r="I48" s="142"/>
      <c r="J48" s="142"/>
    </row>
    <row r="49" spans="1:8" s="263" customFormat="1" ht="30" x14ac:dyDescent="0.2">
      <c r="A49" s="258"/>
      <c r="B49" s="258"/>
      <c r="C49" s="258"/>
      <c r="D49" s="259"/>
      <c r="E49" s="260"/>
      <c r="F49" s="235" t="s">
        <v>211</v>
      </c>
      <c r="G49" s="261" t="s">
        <v>168</v>
      </c>
      <c r="H49" s="262" t="s">
        <v>212</v>
      </c>
    </row>
    <row r="50" spans="1:8" s="263" customFormat="1" ht="14.25" x14ac:dyDescent="0.2">
      <c r="A50" s="258"/>
      <c r="B50" s="258"/>
      <c r="C50" s="258"/>
      <c r="D50" s="258"/>
      <c r="F50" s="258"/>
      <c r="G50" s="232">
        <f>IFERROR('PROGRAM BUDGET &amp; FISCAL REPORT'!L18/'PARTICIPANTS &amp; DEMOGRAPHICS'!G6,"N/A")</f>
        <v>4502.84</v>
      </c>
      <c r="H50" s="253">
        <f>IFERROR('PROGRAM BUDGET &amp; FISCAL REPORT'!S18/'PARTICIPANTS &amp; DEMOGRAPHICS'!I6, "N/A")</f>
        <v>3894.7191228070174</v>
      </c>
    </row>
  </sheetData>
  <sheetProtection algorithmName="SHA-512" hashValue="4lI/L38406U2c/LRNdUNSR0T6Jy804QXpV+dh6kaQewYkE1C/ETyxzfWC1On4CjN6kBRtR0RbecEvcSsTbT0xQ==" saltValue="zz4DwWy8Hiwa4sTtUsF9Nw==" spinCount="100000" sheet="1" objects="1" scenarios="1"/>
  <pageMargins left="0.7" right="0.7" top="0.75" bottom="0.75" header="0.3" footer="0.3"/>
  <pageSetup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2" sqref="F2"/>
    </sheetView>
  </sheetViews>
  <sheetFormatPr defaultColWidth="11.42578125" defaultRowHeight="12" x14ac:dyDescent="0.2"/>
  <cols>
    <col min="1" max="1" width="9.85546875" style="143" hidden="1" customWidth="1"/>
    <col min="2" max="2" width="48.85546875" style="143" customWidth="1"/>
    <col min="3" max="3" width="15.42578125" style="145" customWidth="1"/>
    <col min="4" max="4" width="19.140625" style="145" customWidth="1"/>
    <col min="5" max="5" width="19.7109375" style="145" customWidth="1"/>
    <col min="6" max="6" width="19.42578125" style="145" customWidth="1"/>
    <col min="7" max="7" width="31.42578125" style="145" customWidth="1"/>
    <col min="8" max="16384" width="11.42578125" style="143"/>
  </cols>
  <sheetData>
    <row r="1" spans="1:8" ht="18" x14ac:dyDescent="0.25">
      <c r="A1" s="57"/>
      <c r="B1" s="90" t="s">
        <v>50</v>
      </c>
      <c r="C1" s="155"/>
      <c r="D1" s="155"/>
      <c r="E1" s="155"/>
      <c r="F1" s="155"/>
      <c r="G1" s="143"/>
    </row>
    <row r="2" spans="1:8" ht="18" x14ac:dyDescent="0.25">
      <c r="A2" s="57"/>
      <c r="B2" s="90" t="s">
        <v>213</v>
      </c>
      <c r="C2" s="156"/>
      <c r="D2" s="156"/>
      <c r="E2" s="156"/>
      <c r="F2" s="156"/>
      <c r="G2" s="143"/>
    </row>
    <row r="3" spans="1:8" ht="22.5" customHeight="1" x14ac:dyDescent="0.25">
      <c r="A3" s="57"/>
      <c r="B3" s="104" t="str">
        <f>'PROGRAM BUDGET &amp; FISCAL REPORT'!F7</f>
        <v>AGENCY NAME:</v>
      </c>
      <c r="C3" s="129" t="str">
        <f>'PROGRAM BUDGET &amp; FISCAL REPORT'!G7</f>
        <v>Santa Monica College</v>
      </c>
      <c r="D3" s="157"/>
      <c r="E3" s="157"/>
      <c r="F3" s="156"/>
      <c r="G3" s="143"/>
    </row>
    <row r="4" spans="1:8" ht="22.5" customHeight="1" x14ac:dyDescent="0.25">
      <c r="A4" s="57"/>
      <c r="B4" s="104" t="str">
        <f>'PROGRAM BUDGET &amp; FISCAL REPORT'!F8</f>
        <v>PROGRAM NAME:</v>
      </c>
      <c r="C4" s="129" t="str">
        <f>'PROGRAM BUDGET &amp; FISCAL REPORT'!G8</f>
        <v>Pico Partnership</v>
      </c>
      <c r="D4" s="157"/>
      <c r="E4" s="157"/>
      <c r="F4" s="156"/>
      <c r="G4" s="143"/>
    </row>
    <row r="5" spans="1:8" ht="8.25" customHeight="1" thickBot="1" x14ac:dyDescent="0.25">
      <c r="A5" s="57"/>
      <c r="B5" s="91"/>
      <c r="C5" s="156"/>
      <c r="D5" s="156"/>
      <c r="E5" s="156"/>
      <c r="F5" s="156"/>
      <c r="G5" s="143"/>
    </row>
    <row r="6" spans="1:8" ht="52.5" customHeight="1" x14ac:dyDescent="0.55000000000000004">
      <c r="B6" s="158" t="s">
        <v>214</v>
      </c>
      <c r="C6" s="159" t="s">
        <v>215</v>
      </c>
      <c r="D6" s="159"/>
      <c r="E6" s="159" t="s">
        <v>216</v>
      </c>
      <c r="F6" s="160"/>
      <c r="G6" s="143"/>
    </row>
    <row r="7" spans="1:8" ht="14.25" x14ac:dyDescent="0.2">
      <c r="B7" s="161" t="s">
        <v>217</v>
      </c>
      <c r="C7" s="162">
        <f>'PARTICIPANTS &amp; DEMOGRAPHICS'!G6</f>
        <v>50</v>
      </c>
      <c r="D7" s="163"/>
      <c r="E7" s="163">
        <f>'PARTICIPANTS &amp; DEMOGRAPHICS'!I6</f>
        <v>57</v>
      </c>
      <c r="F7" s="164"/>
      <c r="G7" s="143"/>
    </row>
    <row r="8" spans="1:8" ht="14.25" x14ac:dyDescent="0.2">
      <c r="B8" s="165" t="s">
        <v>218</v>
      </c>
      <c r="C8" s="162">
        <f>'PARTICIPANTS &amp; DEMOGRAPHICS'!G7</f>
        <v>50</v>
      </c>
      <c r="D8" s="163"/>
      <c r="E8" s="163">
        <f>'PARTICIPANTS &amp; DEMOGRAPHICS'!I7</f>
        <v>57</v>
      </c>
      <c r="F8" s="164"/>
      <c r="G8" s="143"/>
    </row>
    <row r="9" spans="1:8" ht="14.25" x14ac:dyDescent="0.2">
      <c r="B9" s="161" t="s">
        <v>219</v>
      </c>
      <c r="C9" s="198">
        <f>IFERROR(C8/C7, "N/A")</f>
        <v>1</v>
      </c>
      <c r="D9" s="167"/>
      <c r="E9" s="167">
        <f>IFERROR(E8/E7, "N/A")</f>
        <v>1</v>
      </c>
      <c r="F9" s="164"/>
      <c r="G9" s="143"/>
    </row>
    <row r="10" spans="1:8" ht="14.25" x14ac:dyDescent="0.2">
      <c r="B10" s="161"/>
      <c r="C10" s="166"/>
      <c r="D10" s="167"/>
      <c r="E10" s="162"/>
      <c r="F10" s="164"/>
      <c r="G10" s="143"/>
    </row>
    <row r="11" spans="1:8" ht="63.75" customHeight="1" x14ac:dyDescent="0.55000000000000004">
      <c r="B11" s="168" t="s">
        <v>220</v>
      </c>
      <c r="C11" s="264" t="s">
        <v>221</v>
      </c>
      <c r="D11" s="264" t="s">
        <v>222</v>
      </c>
      <c r="E11" s="264" t="s">
        <v>223</v>
      </c>
      <c r="F11" s="265" t="s">
        <v>224</v>
      </c>
      <c r="G11" s="143"/>
    </row>
    <row r="12" spans="1:8" ht="16.5" customHeight="1" x14ac:dyDescent="0.2">
      <c r="B12" s="161" t="s">
        <v>225</v>
      </c>
      <c r="C12" s="169">
        <f>'PROGRAM BUDGET &amp; FISCAL REPORT'!L18</f>
        <v>225142</v>
      </c>
      <c r="D12" s="169">
        <f>'PROGRAM BUDGET &amp; FISCAL REPORT'!M18</f>
        <v>133110</v>
      </c>
      <c r="E12" s="169">
        <f>'PROGRAM BUDGET &amp; FISCAL REPORT'!S18</f>
        <v>221998.99</v>
      </c>
      <c r="F12" s="170">
        <f>'PROGRAM BUDGET &amp; FISCAL REPORT'!Q18</f>
        <v>133110</v>
      </c>
      <c r="G12" s="143"/>
    </row>
    <row r="13" spans="1:8" ht="16.5" customHeight="1" x14ac:dyDescent="0.2">
      <c r="B13" s="161"/>
      <c r="C13" s="169"/>
      <c r="D13" s="169"/>
      <c r="E13" s="169"/>
      <c r="F13" s="170"/>
      <c r="G13" s="143"/>
    </row>
    <row r="14" spans="1:8" ht="19.5" x14ac:dyDescent="0.55000000000000004">
      <c r="B14" s="168" t="s">
        <v>226</v>
      </c>
      <c r="C14" s="288" t="s">
        <v>227</v>
      </c>
      <c r="D14" s="288"/>
      <c r="E14" s="288" t="s">
        <v>228</v>
      </c>
      <c r="F14" s="289"/>
      <c r="G14" s="143"/>
    </row>
    <row r="15" spans="1:8" ht="14.25" x14ac:dyDescent="0.2">
      <c r="B15" s="161" t="s">
        <v>229</v>
      </c>
      <c r="C15" s="95">
        <f>IFERROR(C12*C9,"N/A")</f>
        <v>225142</v>
      </c>
      <c r="D15" s="171">
        <f>IFERROR(C15/C12,"N/A")</f>
        <v>1</v>
      </c>
      <c r="E15" s="172">
        <f>IFERROR(E12*E9,"N/A")</f>
        <v>221998.99</v>
      </c>
      <c r="F15" s="173">
        <f>IFERROR(E15/E12,"N/A")</f>
        <v>1</v>
      </c>
      <c r="G15" s="143"/>
    </row>
    <row r="16" spans="1:8" ht="14.25" x14ac:dyDescent="0.2">
      <c r="B16" s="161" t="s">
        <v>230</v>
      </c>
      <c r="C16" s="95">
        <f>D12</f>
        <v>133110</v>
      </c>
      <c r="D16" s="171">
        <f>IFERROR(C16/C15, "N/A")</f>
        <v>0.59122687015305897</v>
      </c>
      <c r="E16" s="172">
        <f>F12</f>
        <v>133110</v>
      </c>
      <c r="F16" s="173">
        <f>IFERROR(E16/E15, "N/A")</f>
        <v>0.59959732249232311</v>
      </c>
      <c r="G16" s="143"/>
      <c r="H16" s="144"/>
    </row>
    <row r="17" spans="2:7" ht="15" thickBot="1" x14ac:dyDescent="0.25">
      <c r="B17" s="161"/>
      <c r="C17" s="95"/>
      <c r="D17" s="171"/>
      <c r="E17" s="172"/>
      <c r="F17" s="173"/>
      <c r="G17" s="143"/>
    </row>
    <row r="18" spans="2:7" ht="15.75" thickBot="1" x14ac:dyDescent="0.3">
      <c r="B18" s="174" t="s">
        <v>231</v>
      </c>
      <c r="C18" s="130">
        <f>IFERROR(C15-C16,"N/A")</f>
        <v>92032</v>
      </c>
      <c r="D18" s="175">
        <f>IFERROR(C18/C15, "N/A")</f>
        <v>0.40877312984694103</v>
      </c>
      <c r="E18" s="130">
        <f>IFERROR(E15-E16, "N/A")</f>
        <v>88888.989999999991</v>
      </c>
      <c r="F18" s="176">
        <f>IFERROR(E18/E15, "N/A")</f>
        <v>0.40040267750767694</v>
      </c>
      <c r="G18" s="143"/>
    </row>
    <row r="19" spans="2:7" ht="30.75" thickBot="1" x14ac:dyDescent="0.3">
      <c r="B19" s="161"/>
      <c r="C19" s="177"/>
      <c r="D19" s="178" t="s">
        <v>232</v>
      </c>
      <c r="E19" s="163"/>
      <c r="F19" s="178" t="s">
        <v>232</v>
      </c>
    </row>
    <row r="20" spans="2:7" s="116" customFormat="1" ht="12.75" x14ac:dyDescent="0.2">
      <c r="B20" s="179"/>
      <c r="C20" s="128"/>
      <c r="D20" s="128"/>
      <c r="E20" s="128"/>
      <c r="F20" s="128"/>
      <c r="G20" s="145"/>
    </row>
  </sheetData>
  <sheetProtection algorithmName="SHA-512" hashValue="2wjU7jhrONqMEjCfR/4fbcJZ79OQMSbIhQdboDZFrfoZaMFK+pICOPwXJ00DynYvLoPBCRUAQdlu7Vfh6MuP1A==" saltValue="/yPsDrdnVzyM8orqQnY0sA==" spinCount="100000" sheet="1" objects="1" scenarios="1"/>
  <mergeCells count="2">
    <mergeCell ref="C14:D14"/>
    <mergeCell ref="E14:F14"/>
  </mergeCells>
  <pageMargins left="1" right="1" top="0.81" bottom="0.5" header="0.5" footer="0.5"/>
  <pageSetup scale="41" orientation="portrait" horizontalDpi="4294967295" verticalDpi="4294967295"/>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Props1.xml><?xml version="1.0" encoding="utf-8"?>
<ds:datastoreItem xmlns:ds="http://schemas.openxmlformats.org/officeDocument/2006/customXml" ds:itemID="{E370DDE1-2D21-4BC0-BB0E-0E4DD373D2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3.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4.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PROGRAM BUDGET &amp; FISCAL REPORT</vt:lpstr>
      <vt:lpstr>PARTICIPANTS &amp; DEMOGRAPHICS</vt:lpstr>
      <vt:lpstr>CASH MATCH</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cp:lastModifiedBy>
  <cp:revision/>
  <dcterms:created xsi:type="dcterms:W3CDTF">1999-10-15T17:33:56Z</dcterms:created>
  <dcterms:modified xsi:type="dcterms:W3CDTF">2023-02-20T21:36:48Z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