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2021 FISCAL DONE/"/>
    </mc:Choice>
  </mc:AlternateContent>
  <xr:revisionPtr revIDLastSave="88" documentId="11_A988530A77A19481B732E8C4B24A560D3C7CAE8C" xr6:coauthVersionLast="46" xr6:coauthVersionMax="47" xr10:uidLastSave="{5AB627BA-2F7B-4130-82DF-DE55BBD72A28}"/>
  <workbookProtection workbookAlgorithmName="SHA-512" workbookHashValue="2l+9qaPcBGdylXoQk08YbQyPXHYKCsJXWWyHyGmr+W04TP4GzszuQnUUZnU2Xja6GsyEiWzqfQLwTIS1UDWYAA==" workbookSaltValue="KfWXkJdbm/vDOLxk4uuJwQ=="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9" l="1"/>
  <c r="L35" i="19"/>
  <c r="O29" i="19"/>
  <c r="M29" i="19"/>
  <c r="M37" i="19" s="1"/>
  <c r="L29" i="19"/>
  <c r="L37" i="19" s="1"/>
  <c r="J34" i="19"/>
  <c r="J33" i="19"/>
  <c r="J32" i="19"/>
  <c r="J31" i="19"/>
  <c r="J30" i="19"/>
  <c r="J28" i="19"/>
  <c r="K29" i="19" s="1"/>
  <c r="P28" i="19"/>
  <c r="P29" i="19" s="1"/>
  <c r="Q32" i="19"/>
  <c r="K35" i="19" l="1"/>
  <c r="K37" i="19" s="1"/>
  <c r="P56" i="19"/>
  <c r="P96" i="19"/>
  <c r="P73" i="19"/>
  <c r="P128" i="19"/>
  <c r="P105" i="19"/>
  <c r="P102" i="19"/>
  <c r="P99" i="19"/>
  <c r="P97" i="19"/>
  <c r="P95" i="19"/>
  <c r="P88" i="19"/>
  <c r="P81" i="19"/>
  <c r="P55" i="19"/>
  <c r="P54" i="19"/>
  <c r="P46" i="19"/>
  <c r="P45" i="19"/>
  <c r="P44" i="19"/>
  <c r="P43" i="19"/>
  <c r="P42" i="19"/>
  <c r="P31" i="19"/>
  <c r="P30" i="19"/>
  <c r="P35" i="19" s="1"/>
  <c r="Q73" i="19" l="1"/>
  <c r="N73" i="19"/>
  <c r="R73" i="19" l="1"/>
  <c r="S73" i="19"/>
  <c r="O46" i="19"/>
  <c r="O45" i="19"/>
  <c r="O44" i="19"/>
  <c r="O43" i="19"/>
  <c r="O42" i="19"/>
  <c r="O31" i="19"/>
  <c r="O35" i="19" s="1"/>
  <c r="O37" i="19" s="1"/>
  <c r="O99" i="19"/>
  <c r="O55" i="19"/>
  <c r="O54" i="19"/>
  <c r="L47" i="26" l="1"/>
  <c r="K47" i="26"/>
  <c r="J47" i="26"/>
  <c r="C8" i="14"/>
  <c r="C7" i="14"/>
  <c r="P130" i="19"/>
  <c r="P17" i="19" s="1"/>
  <c r="O130" i="19"/>
  <c r="O17" i="19" s="1"/>
  <c r="M130" i="19"/>
  <c r="M17" i="19" s="1"/>
  <c r="L130" i="19"/>
  <c r="L17" i="19" s="1"/>
  <c r="Q129" i="19"/>
  <c r="N129" i="19"/>
  <c r="B129" i="19"/>
  <c r="A129" i="19"/>
  <c r="M48" i="19"/>
  <c r="M8" i="19" s="1"/>
  <c r="L48" i="19"/>
  <c r="L8" i="19" s="1"/>
  <c r="M7" i="19"/>
  <c r="L7" i="19"/>
  <c r="B119" i="19"/>
  <c r="A119" i="19"/>
  <c r="B113" i="19"/>
  <c r="A113" i="19"/>
  <c r="B112" i="19"/>
  <c r="A112" i="19"/>
  <c r="B106" i="19"/>
  <c r="A106" i="19"/>
  <c r="B105" i="19"/>
  <c r="A105" i="19"/>
  <c r="B104" i="19"/>
  <c r="A104" i="19"/>
  <c r="B103" i="19"/>
  <c r="A103" i="19"/>
  <c r="B102" i="19"/>
  <c r="A102" i="19"/>
  <c r="B101" i="19"/>
  <c r="A101" i="19"/>
  <c r="B100" i="19"/>
  <c r="A100" i="19"/>
  <c r="B99" i="19"/>
  <c r="A99" i="19"/>
  <c r="B98" i="19"/>
  <c r="A98" i="19"/>
  <c r="B97" i="19"/>
  <c r="A97" i="19"/>
  <c r="B96" i="19"/>
  <c r="A96" i="19"/>
  <c r="B89" i="19"/>
  <c r="A89" i="19"/>
  <c r="B82" i="19"/>
  <c r="A82" i="19"/>
  <c r="B81" i="19"/>
  <c r="A81" i="19"/>
  <c r="B80" i="19"/>
  <c r="A80" i="19"/>
  <c r="B74" i="19"/>
  <c r="A74" i="19"/>
  <c r="B66" i="19"/>
  <c r="A66" i="19"/>
  <c r="B65" i="19"/>
  <c r="A65" i="19"/>
  <c r="B64" i="19"/>
  <c r="A64" i="19"/>
  <c r="B57" i="19"/>
  <c r="A57" i="19"/>
  <c r="B56" i="19"/>
  <c r="A56" i="19"/>
  <c r="B55" i="19"/>
  <c r="A55" i="19"/>
  <c r="B47" i="19"/>
  <c r="A47" i="19"/>
  <c r="B46" i="19"/>
  <c r="A46" i="19"/>
  <c r="B45" i="19"/>
  <c r="A45" i="19"/>
  <c r="B44" i="19"/>
  <c r="A44" i="19"/>
  <c r="B43" i="19"/>
  <c r="A43" i="19"/>
  <c r="B42" i="19"/>
  <c r="A42" i="19"/>
  <c r="P67" i="19"/>
  <c r="P10" i="19" s="1"/>
  <c r="M83" i="19"/>
  <c r="M12" i="19" s="1"/>
  <c r="O83" i="19"/>
  <c r="O12" i="19" s="1"/>
  <c r="P83" i="19"/>
  <c r="P12" i="19" s="1"/>
  <c r="L83" i="19"/>
  <c r="L12" i="19" s="1"/>
  <c r="E7" i="14"/>
  <c r="N120" i="19"/>
  <c r="N119" i="19"/>
  <c r="N113" i="19"/>
  <c r="N112" i="19"/>
  <c r="N106" i="19"/>
  <c r="N105" i="19"/>
  <c r="N104" i="19"/>
  <c r="N103" i="19"/>
  <c r="N102" i="19"/>
  <c r="N101" i="19"/>
  <c r="N100" i="19"/>
  <c r="N99" i="19"/>
  <c r="N98" i="19"/>
  <c r="N97" i="19"/>
  <c r="N96" i="19"/>
  <c r="N95" i="19"/>
  <c r="N89" i="19"/>
  <c r="N88" i="19"/>
  <c r="N82" i="19"/>
  <c r="N81" i="19"/>
  <c r="N80" i="19"/>
  <c r="N74" i="19"/>
  <c r="N72" i="19"/>
  <c r="N65" i="19"/>
  <c r="N64" i="19"/>
  <c r="N63" i="19"/>
  <c r="Q120" i="19"/>
  <c r="Q113" i="19"/>
  <c r="Q106" i="19"/>
  <c r="Q105" i="19"/>
  <c r="Q104" i="19"/>
  <c r="Q103" i="19"/>
  <c r="Q102" i="19"/>
  <c r="Q101" i="19"/>
  <c r="Q100" i="19"/>
  <c r="Q99" i="19"/>
  <c r="Q98" i="19"/>
  <c r="Q97" i="19"/>
  <c r="Q89" i="19"/>
  <c r="R89" i="19" s="1"/>
  <c r="Q82" i="19"/>
  <c r="Q81" i="19"/>
  <c r="Q80" i="19"/>
  <c r="Q74" i="19"/>
  <c r="Q66" i="19"/>
  <c r="N66" i="19"/>
  <c r="Q65" i="19"/>
  <c r="N55" i="19"/>
  <c r="Q55" i="19"/>
  <c r="N56" i="19"/>
  <c r="Q56" i="19"/>
  <c r="N57" i="19"/>
  <c r="Q57" i="19"/>
  <c r="R57" i="19" s="1"/>
  <c r="N43" i="19"/>
  <c r="Q43" i="19"/>
  <c r="S43" i="19" s="1"/>
  <c r="N44" i="19"/>
  <c r="Q44" i="19"/>
  <c r="N45" i="19"/>
  <c r="Q45" i="19"/>
  <c r="N46" i="19"/>
  <c r="Q46" i="19"/>
  <c r="N47" i="19"/>
  <c r="Q47" i="19"/>
  <c r="R47" i="19" s="1"/>
  <c r="N28" i="19"/>
  <c r="N29" i="19" s="1"/>
  <c r="E8" i="14"/>
  <c r="E9" i="14" s="1"/>
  <c r="B46" i="26"/>
  <c r="B45" i="26"/>
  <c r="B44" i="26"/>
  <c r="B43" i="26"/>
  <c r="B42" i="26"/>
  <c r="B41" i="26"/>
  <c r="B40" i="26"/>
  <c r="B39" i="26"/>
  <c r="B38" i="26"/>
  <c r="B37" i="26"/>
  <c r="B36" i="26"/>
  <c r="B31" i="26"/>
  <c r="B30" i="26"/>
  <c r="B29" i="26"/>
  <c r="B28" i="26"/>
  <c r="B27" i="26"/>
  <c r="B26" i="26"/>
  <c r="E137" i="19"/>
  <c r="E138" i="19"/>
  <c r="E139" i="19"/>
  <c r="E140" i="19"/>
  <c r="E141" i="19"/>
  <c r="E136" i="19"/>
  <c r="N36" i="19"/>
  <c r="N34" i="19"/>
  <c r="N33" i="19"/>
  <c r="N32" i="19"/>
  <c r="N31" i="19"/>
  <c r="N30" i="19"/>
  <c r="N42" i="19"/>
  <c r="L107" i="19"/>
  <c r="L14" i="19" s="1"/>
  <c r="Q88" i="19"/>
  <c r="P75" i="19"/>
  <c r="P11" i="19" s="1"/>
  <c r="Q64" i="19"/>
  <c r="Q63" i="19"/>
  <c r="O67" i="19"/>
  <c r="O10" i="19" s="1"/>
  <c r="Q36" i="19"/>
  <c r="R36" i="19" s="1"/>
  <c r="Q34" i="19"/>
  <c r="L67" i="19"/>
  <c r="L10" i="19" s="1"/>
  <c r="M67" i="19"/>
  <c r="M10" i="19" s="1"/>
  <c r="A34" i="19"/>
  <c r="B34" i="19"/>
  <c r="A36" i="19"/>
  <c r="B36" i="19"/>
  <c r="O114" i="19"/>
  <c r="O15" i="19" s="1"/>
  <c r="P114" i="19"/>
  <c r="P15" i="19" s="1"/>
  <c r="Q28" i="19"/>
  <c r="Q29" i="19" s="1"/>
  <c r="Q30" i="19"/>
  <c r="Q31" i="19"/>
  <c r="Q33" i="19"/>
  <c r="Q42" i="19"/>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41" i="19"/>
  <c r="Q140" i="19"/>
  <c r="Q139" i="19"/>
  <c r="Q138" i="19"/>
  <c r="Q137" i="19"/>
  <c r="Q136" i="19"/>
  <c r="M75" i="19"/>
  <c r="M11" i="19" s="1"/>
  <c r="C3" i="14"/>
  <c r="C4" i="14"/>
  <c r="B4" i="14"/>
  <c r="B3" i="14"/>
  <c r="B141" i="19"/>
  <c r="A141" i="19"/>
  <c r="B140" i="19"/>
  <c r="A140" i="19"/>
  <c r="B139" i="19"/>
  <c r="A139" i="19"/>
  <c r="B138" i="19"/>
  <c r="A138" i="19"/>
  <c r="B137" i="19"/>
  <c r="A137" i="19"/>
  <c r="B136" i="19"/>
  <c r="A136" i="19"/>
  <c r="P142" i="19"/>
  <c r="O142" i="19"/>
  <c r="N142" i="19"/>
  <c r="B95" i="19"/>
  <c r="A95" i="19"/>
  <c r="B33" i="19"/>
  <c r="A33" i="19"/>
  <c r="B32" i="19"/>
  <c r="A32" i="19"/>
  <c r="B31" i="19"/>
  <c r="A31" i="19"/>
  <c r="B30" i="19"/>
  <c r="A30" i="19"/>
  <c r="B88" i="19"/>
  <c r="A88" i="19"/>
  <c r="B72" i="19"/>
  <c r="A72" i="19"/>
  <c r="B63" i="19"/>
  <c r="A63" i="19"/>
  <c r="B54" i="19"/>
  <c r="A54" i="19"/>
  <c r="B41" i="19"/>
  <c r="A41" i="19"/>
  <c r="B28" i="19"/>
  <c r="A28" i="19"/>
  <c r="L58" i="19"/>
  <c r="L9" i="19" s="1"/>
  <c r="L90" i="19"/>
  <c r="L13" i="19" s="1"/>
  <c r="L114" i="19"/>
  <c r="L15" i="19" s="1"/>
  <c r="L121" i="19"/>
  <c r="L16" i="19" s="1"/>
  <c r="M58" i="19"/>
  <c r="M9" i="19" s="1"/>
  <c r="M90" i="19"/>
  <c r="M13" i="19" s="1"/>
  <c r="M107" i="19"/>
  <c r="M14" i="19" s="1"/>
  <c r="M114" i="19"/>
  <c r="M15" i="19" s="1"/>
  <c r="M121" i="19"/>
  <c r="M16" i="19" s="1"/>
  <c r="Q54" i="19"/>
  <c r="N128" i="19"/>
  <c r="N54" i="19"/>
  <c r="Q96" i="19"/>
  <c r="Q128" i="19"/>
  <c r="B128" i="19"/>
  <c r="A128" i="19"/>
  <c r="P121" i="19"/>
  <c r="P16" i="19" s="1"/>
  <c r="O121" i="19"/>
  <c r="O16" i="19" s="1"/>
  <c r="Q119" i="19"/>
  <c r="B120" i="19"/>
  <c r="A120" i="19"/>
  <c r="Q112" i="19"/>
  <c r="Q95" i="19"/>
  <c r="P107" i="19"/>
  <c r="P14" i="19" s="1"/>
  <c r="O107" i="19"/>
  <c r="O14" i="19" s="1"/>
  <c r="P90" i="19"/>
  <c r="P13" i="19" s="1"/>
  <c r="O90" i="19"/>
  <c r="O13" i="19" s="1"/>
  <c r="O75" i="19"/>
  <c r="O11" i="19" s="1"/>
  <c r="Q72" i="19"/>
  <c r="P58" i="19"/>
  <c r="P9" i="19" s="1"/>
  <c r="O58" i="19"/>
  <c r="O9" i="19" s="1"/>
  <c r="P48" i="19"/>
  <c r="P8" i="19" s="1"/>
  <c r="O48" i="19"/>
  <c r="O8" i="19" s="1"/>
  <c r="P37" i="19"/>
  <c r="P7" i="19" s="1"/>
  <c r="B17" i="19"/>
  <c r="A17" i="19"/>
  <c r="B16" i="19"/>
  <c r="A16" i="19"/>
  <c r="B15" i="19"/>
  <c r="A15" i="19"/>
  <c r="B14" i="19"/>
  <c r="A14" i="19"/>
  <c r="B13" i="19"/>
  <c r="A13" i="19"/>
  <c r="B12" i="19"/>
  <c r="A12" i="19"/>
  <c r="B11" i="19"/>
  <c r="A11" i="19"/>
  <c r="B10" i="19"/>
  <c r="A10" i="19"/>
  <c r="B9" i="19"/>
  <c r="A9" i="19"/>
  <c r="B8" i="19"/>
  <c r="A8" i="19"/>
  <c r="B7" i="19"/>
  <c r="A7" i="19"/>
  <c r="B6" i="19"/>
  <c r="A6" i="19"/>
  <c r="L75" i="19"/>
  <c r="L11" i="19" s="1"/>
  <c r="R29" i="19" l="1"/>
  <c r="Q37" i="19"/>
  <c r="N35" i="19"/>
  <c r="N37" i="19" s="1"/>
  <c r="Q35" i="19"/>
  <c r="R35" i="19" s="1"/>
  <c r="R72" i="19"/>
  <c r="S72" i="19"/>
  <c r="R95" i="19"/>
  <c r="S95" i="19"/>
  <c r="R112" i="19"/>
  <c r="S112" i="19"/>
  <c r="R119" i="19"/>
  <c r="S119" i="19"/>
  <c r="R128" i="19"/>
  <c r="S128" i="19"/>
  <c r="R96" i="19"/>
  <c r="S96" i="19"/>
  <c r="R54" i="19"/>
  <c r="S54" i="19"/>
  <c r="R42" i="19"/>
  <c r="S42" i="19"/>
  <c r="R33" i="19"/>
  <c r="S33" i="19"/>
  <c r="R32" i="19"/>
  <c r="S32" i="19"/>
  <c r="R31" i="19"/>
  <c r="S31" i="19"/>
  <c r="R30" i="19"/>
  <c r="S30" i="19"/>
  <c r="R28" i="19"/>
  <c r="S28" i="19"/>
  <c r="S29" i="19" s="1"/>
  <c r="R34" i="19"/>
  <c r="S34" i="19"/>
  <c r="R63" i="19"/>
  <c r="S63" i="19"/>
  <c r="R64" i="19"/>
  <c r="S64" i="19"/>
  <c r="R88" i="19"/>
  <c r="S88" i="19"/>
  <c r="S90" i="19" s="1"/>
  <c r="S13" i="19" s="1"/>
  <c r="R46" i="19"/>
  <c r="S46" i="19"/>
  <c r="R45" i="19"/>
  <c r="S45" i="19"/>
  <c r="R44" i="19"/>
  <c r="S44" i="19"/>
  <c r="R56" i="19"/>
  <c r="S56" i="19"/>
  <c r="R55" i="19"/>
  <c r="S55" i="19"/>
  <c r="R65" i="19"/>
  <c r="S65" i="19"/>
  <c r="R66" i="19"/>
  <c r="S66" i="19"/>
  <c r="R74" i="19"/>
  <c r="S74" i="19"/>
  <c r="R80" i="19"/>
  <c r="S80" i="19"/>
  <c r="R81" i="19"/>
  <c r="S81" i="19"/>
  <c r="R82" i="19"/>
  <c r="S82" i="19"/>
  <c r="R97" i="19"/>
  <c r="S97" i="19"/>
  <c r="R98" i="19"/>
  <c r="S98" i="19"/>
  <c r="R99" i="19"/>
  <c r="S99" i="19"/>
  <c r="R100" i="19"/>
  <c r="S100" i="19"/>
  <c r="R101" i="19"/>
  <c r="S101" i="19"/>
  <c r="R102" i="19"/>
  <c r="S102" i="19"/>
  <c r="R103" i="19"/>
  <c r="S103" i="19"/>
  <c r="R104" i="19"/>
  <c r="S104" i="19"/>
  <c r="R105" i="19"/>
  <c r="S105" i="19"/>
  <c r="R106" i="19"/>
  <c r="S106" i="19"/>
  <c r="R113" i="19"/>
  <c r="S113" i="19"/>
  <c r="R120" i="19"/>
  <c r="S120" i="19"/>
  <c r="R129" i="19"/>
  <c r="S129" i="19"/>
  <c r="C9" i="14"/>
  <c r="N130" i="19"/>
  <c r="N10" i="19"/>
  <c r="N12" i="19"/>
  <c r="N9" i="19"/>
  <c r="N75" i="19"/>
  <c r="N17" i="19"/>
  <c r="N15" i="19"/>
  <c r="N83" i="19"/>
  <c r="N90" i="19"/>
  <c r="N107" i="19"/>
  <c r="N114" i="19"/>
  <c r="N11" i="19"/>
  <c r="Q142" i="19"/>
  <c r="N8" i="19"/>
  <c r="N14" i="19"/>
  <c r="N16" i="19"/>
  <c r="Q75" i="19"/>
  <c r="Q11" i="19" s="1"/>
  <c r="R11" i="19" s="1"/>
  <c r="L132" i="19"/>
  <c r="O132" i="19"/>
  <c r="N13" i="19"/>
  <c r="O18" i="19"/>
  <c r="N7" i="19"/>
  <c r="L18" i="19"/>
  <c r="P18" i="19"/>
  <c r="M18" i="19"/>
  <c r="D12" i="14" s="1"/>
  <c r="C16" i="14" s="1"/>
  <c r="N58" i="19"/>
  <c r="N48" i="19"/>
  <c r="Q67" i="19"/>
  <c r="R67" i="19" s="1"/>
  <c r="N67" i="19"/>
  <c r="Q48" i="19"/>
  <c r="R48" i="19" s="1"/>
  <c r="N121" i="19"/>
  <c r="M132" i="19"/>
  <c r="K129" i="19" s="1"/>
  <c r="P132" i="19"/>
  <c r="Q107" i="19"/>
  <c r="R107" i="19" s="1"/>
  <c r="Q130" i="19"/>
  <c r="Q58" i="19"/>
  <c r="R58" i="19" s="1"/>
  <c r="Q83" i="19"/>
  <c r="R83" i="19" s="1"/>
  <c r="Q90" i="19"/>
  <c r="Q13" i="19" s="1"/>
  <c r="R13" i="19" s="1"/>
  <c r="Q114" i="19"/>
  <c r="Q15" i="19" s="1"/>
  <c r="R15" i="19" s="1"/>
  <c r="Q121" i="19"/>
  <c r="R121" i="19" s="1"/>
  <c r="Q7" i="19"/>
  <c r="R43" i="19"/>
  <c r="Q12" i="19"/>
  <c r="R12" i="19" s="1"/>
  <c r="S35" i="19" l="1"/>
  <c r="S37" i="19" s="1"/>
  <c r="S7" i="19" s="1"/>
  <c r="S83" i="19"/>
  <c r="S12" i="19" s="1"/>
  <c r="S67" i="19"/>
  <c r="S10" i="19" s="1"/>
  <c r="S48" i="19"/>
  <c r="S8" i="19" s="1"/>
  <c r="S58" i="19"/>
  <c r="S9" i="19" s="1"/>
  <c r="S130" i="19"/>
  <c r="S17" i="19" s="1"/>
  <c r="S121" i="19"/>
  <c r="S16" i="19" s="1"/>
  <c r="S114" i="19"/>
  <c r="S15" i="19" s="1"/>
  <c r="S107" i="19"/>
  <c r="S14" i="19" s="1"/>
  <c r="S75" i="19"/>
  <c r="S11" i="19" s="1"/>
  <c r="R90" i="19"/>
  <c r="C12" i="14"/>
  <c r="C15" i="14" s="1"/>
  <c r="C18" i="14" s="1"/>
  <c r="D18" i="14" s="1"/>
  <c r="G50" i="26"/>
  <c r="Q14" i="19"/>
  <c r="R14" i="19" s="1"/>
  <c r="Q132" i="19"/>
  <c r="R132" i="19" s="1"/>
  <c r="Q8" i="19"/>
  <c r="R8" i="19" s="1"/>
  <c r="R75" i="19"/>
  <c r="R37" i="19"/>
  <c r="R114" i="19"/>
  <c r="Q9" i="19"/>
  <c r="R9" i="19" s="1"/>
  <c r="N132" i="19"/>
  <c r="N18" i="19"/>
  <c r="Q10" i="19"/>
  <c r="R10" i="19" s="1"/>
  <c r="R130" i="19"/>
  <c r="Q17" i="19"/>
  <c r="R17" i="19" s="1"/>
  <c r="Q16" i="19"/>
  <c r="R16" i="19" s="1"/>
  <c r="R7" i="19"/>
  <c r="S132" i="19" l="1"/>
  <c r="S18" i="19"/>
  <c r="E12" i="14" s="1"/>
  <c r="E15" i="14" s="1"/>
  <c r="F15" i="14" s="1"/>
  <c r="D15" i="14"/>
  <c r="D16" i="14"/>
  <c r="Q18" i="19"/>
  <c r="R18" i="19" s="1"/>
  <c r="H50" i="26" l="1"/>
  <c r="G15" i="19"/>
  <c r="G16" i="19" s="1"/>
  <c r="F12" i="14"/>
  <c r="E16" i="14" s="1"/>
  <c r="E18" i="14" s="1"/>
  <c r="F16" i="14" l="1"/>
  <c r="F18" i="14"/>
  <c r="R142" i="19"/>
  <c r="S142" i="19" s="1"/>
</calcChain>
</file>

<file path=xl/sharedStrings.xml><?xml version="1.0" encoding="utf-8"?>
<sst xmlns="http://schemas.openxmlformats.org/spreadsheetml/2006/main" count="591" uniqueCount="252">
  <si>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</si>
  <si>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</si>
  <si>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</si>
  <si>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</si>
  <si>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</si>
  <si>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</si>
  <si>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</si>
  <si>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</si>
  <si>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</si>
  <si>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</si>
  <si>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</si>
  <si>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</si>
  <si>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</si>
  <si>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</si>
  <si>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</si>
  <si>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</si>
  <si>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</si>
  <si>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</si>
  <si>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</si>
  <si>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SECTION I:  BUDGET SUMMARY</t>
  </si>
  <si>
    <t>CITY OF SANTA MONICA</t>
  </si>
  <si>
    <t>TOTAL
PROGRAM
BUDGET</t>
  </si>
  <si>
    <t>SM GRANT
BUDGET</t>
  </si>
  <si>
    <t>NON-CITY PROGRAM BUDGET</t>
  </si>
  <si>
    <t>SM 
1st PERIOD EXPEND.</t>
  </si>
  <si>
    <t>SM  
2nd PERIOD EXPEND.</t>
  </si>
  <si>
    <t>SM TOTAL EXPEND.</t>
  </si>
  <si>
    <t>SM PERCENT EXPENDED</t>
  </si>
  <si>
    <t>YEAR-END
 TOTAL PROGRAM EXPEND.</t>
  </si>
  <si>
    <t>1A. Staff Salaries</t>
  </si>
  <si>
    <t>1B. Staff Fringe Benefits</t>
  </si>
  <si>
    <t>1C. Consultant Services</t>
  </si>
  <si>
    <t>2.   Space/Facilities</t>
  </si>
  <si>
    <t>3.   Equipment Purchase</t>
  </si>
  <si>
    <t>4.   Travel/Training</t>
  </si>
  <si>
    <t>5.   Insurance</t>
  </si>
  <si>
    <t>6.   Operating Expenses</t>
  </si>
  <si>
    <t>7.   Scholarships/Stipends</t>
  </si>
  <si>
    <t>8.   Other</t>
  </si>
  <si>
    <t>9.   Indirect Administrative Costs</t>
  </si>
  <si>
    <t>10.   TOTAL BUDGET</t>
  </si>
  <si>
    <t>SECTION II:  LINE ITEM DETAIL</t>
  </si>
  <si>
    <t>1A.  Staff Salaries</t>
  </si>
  <si>
    <t>Staff Name</t>
  </si>
  <si>
    <t>Title</t>
  </si>
  <si>
    <t>TBD</t>
  </si>
  <si>
    <t>1A.  Staff Salaries TOTAL</t>
  </si>
  <si>
    <t>1B.  Staff Fringe Benefits</t>
  </si>
  <si>
    <t>1B.  Staff Fringe Benefits TOTAL</t>
  </si>
  <si>
    <t>1C.  Consultant Services</t>
  </si>
  <si>
    <t>1C.  Consultant Services TOTAL</t>
  </si>
  <si>
    <t>2.  Space/Facilities</t>
  </si>
  <si>
    <t>List any rental costs, utilities, janitorial costs, and any other facility costs.</t>
  </si>
  <si>
    <t>2.  Space/Facilities TOTAL</t>
  </si>
  <si>
    <t>3.  Equipment Purchase</t>
  </si>
  <si>
    <t>3.  Equipment Purchase TOTAL</t>
  </si>
  <si>
    <t>4.  Travel/Training</t>
  </si>
  <si>
    <t>4.  Travel/Training TOTAL</t>
  </si>
  <si>
    <t>5.  Insurance</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</si>
  <si>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</si>
  <si>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</si>
  <si>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</si>
  <si>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</si>
  <si>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</si>
  <si>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7.  Scholarships/Stipends TOTAL</t>
  </si>
  <si>
    <t>8.  Other</t>
  </si>
  <si>
    <t>List any program expense not appropriate for any of the above line items and provide justification.</t>
  </si>
  <si>
    <t>8.  Other TOTAL</t>
  </si>
  <si>
    <t>9.  Indirect Administrative Costs</t>
  </si>
  <si>
    <t>9.  Indirect Administrative Costs TOTAL</t>
  </si>
  <si>
    <t>Worker's Compensation - 1.10% of Gross Salary</t>
  </si>
  <si>
    <t>SUI - 2% based on direct charges</t>
  </si>
  <si>
    <t>Health Benefits - 7% of Gross Salary</t>
  </si>
  <si>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</si>
  <si>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</si>
  <si>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</si>
  <si>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</si>
  <si>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</si>
  <si>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</si>
  <si>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</si>
  <si>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</si>
  <si>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</si>
  <si>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</si>
  <si>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</si>
  <si>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</si>
  <si>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</si>
  <si>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</si>
  <si>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</si>
  <si>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</si>
  <si>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</si>
  <si>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</si>
  <si>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</si>
  <si>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</si>
  <si>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</si>
  <si>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</si>
  <si>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</si>
  <si>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</si>
  <si>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</si>
  <si>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</si>
  <si>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</si>
  <si>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</si>
  <si>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</si>
  <si>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</si>
  <si>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</si>
  <si>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</si>
  <si>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</si>
  <si>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WISE &amp; Healthy Aging</t>
  </si>
  <si>
    <t>PROGRAM NAME:</t>
  </si>
  <si>
    <t>WISE Diner</t>
  </si>
  <si>
    <t>REPORTING PERIOD:</t>
  </si>
  <si>
    <t>FY 2020-21 Program Budget: 7/1/20-6/30/21</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</si>
  <si>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</si>
  <si>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</si>
  <si>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</si>
  <si>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</si>
  <si>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</si>
  <si>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</si>
  <si>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Brandi Orton</t>
  </si>
  <si>
    <t>VP of Member Services</t>
  </si>
  <si>
    <t>Administrative Support</t>
  </si>
  <si>
    <t>Heidi Yates</t>
  </si>
  <si>
    <t>Front Office Specialist</t>
  </si>
  <si>
    <t xml:space="preserve">Direct Service Provision/Program Staff </t>
  </si>
  <si>
    <t>Eva Jimenez</t>
  </si>
  <si>
    <t>Supervisor</t>
  </si>
  <si>
    <t>Nutrition Site Associate</t>
  </si>
  <si>
    <t>List each fringe benefit as a percentage of total staff salaries listed above (FICA, SUI, Workers’ Compensation, Medical Insurance, Retirement, etc.).</t>
  </si>
  <si>
    <t>Description</t>
  </si>
  <si>
    <t>FICA -7.65% of Gross Salary</t>
  </si>
  <si>
    <t>Retirement Benefits - .5% of Gross Salary</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</si>
  <si>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</si>
  <si>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</si>
  <si>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Audit Fees - $103.47/month  (rate 69.91 X 1.48 FTE =103.47)  X  12 months =1,242 annuually</t>
  </si>
  <si>
    <t>Payroll - $32.93 /month (rate 22.25 X 1.48 FTE =32.93)  X 12 months = $395annually</t>
  </si>
  <si>
    <t xml:space="preserve">Subcontract with local food caterer for meals delivery.  City pays  $110,000/year ( 22,000 meals @ $5.00)  </t>
  </si>
  <si>
    <t>Rent - $10,174.00/month  X  1% X 9 months  (% based on square footage)  Place holder, pending lease negotiations.</t>
  </si>
  <si>
    <t>Security - $1,078.25/month  X 1% X 9 months (% based on square footage) Place holder, pending lease negotiations.</t>
  </si>
  <si>
    <t>Janitorial - $1,950/month  X  1%, X 9 months   (% based on square footage) Place holder, pending lease negotiations.</t>
  </si>
  <si>
    <t>Equipment is defined as non-expendable personal property having a useful life of more than one year and a unit cost of $1,000 or more. List each item to be leased, rented or purchased.</t>
  </si>
  <si>
    <t>Network Upgrades</t>
  </si>
  <si>
    <t>3 desktop computers</t>
  </si>
  <si>
    <t>List any trainings/seminars/conferences to be attended and include any amounts for travel, per diem, lodging, etc. For mileage, include mileage reimbursement rate in calculation.</t>
  </si>
  <si>
    <t xml:space="preserve">Staff Training - </t>
  </si>
  <si>
    <t>Local Travel - based on mileage reimbursement  (445 miles @ .58 per mile = 258)</t>
  </si>
  <si>
    <t>Insurance coverage should align with City contract provisions.</t>
  </si>
  <si>
    <t xml:space="preserve">Insurance -  $62.50 /month (rate $42.23 X 1.48 FTE= $62.50)   X  12 months = $750 annually </t>
  </si>
  <si>
    <t>Office Supplies -  $500/Year  ($41.67/Month x 12 months)</t>
  </si>
  <si>
    <t>Program Supplies -  $4,088/Year  ($340.67/Month x 12 months)</t>
  </si>
  <si>
    <t>Telephone -$79.02/Month (rate $53.39 X 1.48 FTE = $79.02)  X  12 months = $948 annually</t>
  </si>
  <si>
    <t>Postage &amp; Shipping - $132 Year ($11/month x 12)</t>
  </si>
  <si>
    <t>Copier Costs - $402/Year ($33.50/month x 12)</t>
  </si>
  <si>
    <t>Printing Costs - $1,433/Year 119.42/month x 12)</t>
  </si>
  <si>
    <t>Advertising -  $1,500/Year  ($125/Month  x 12 months)</t>
  </si>
  <si>
    <t>Publications/Subscriptions - $250/year ($20.83/month x 12)</t>
  </si>
  <si>
    <t>License Fees - $1,500/year ($125/month x 12)</t>
  </si>
  <si>
    <t>Meeting Costs - $990/Year  ($82.50/Month  x 12 months)</t>
  </si>
  <si>
    <t>Volunteer Recognition - $800/year ($66.67 /month x 12 months)</t>
  </si>
  <si>
    <t>List any scholarships or stipends, and include: number of recipients, maximum amount per recipient, and basis for computation.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</si>
  <si>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</si>
  <si>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</si>
  <si>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</si>
  <si>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</si>
  <si>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</si>
  <si>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</si>
  <si>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</si>
  <si>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</si>
  <si>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</si>
  <si>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</si>
  <si>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</si>
  <si>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</si>
  <si>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</si>
  <si>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</si>
  <si>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</si>
  <si>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</si>
  <si>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</si>
  <si>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</si>
  <si>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</si>
  <si>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</si>
  <si>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</si>
  <si>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</si>
  <si>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</si>
  <si>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</si>
  <si>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</si>
  <si>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</si>
  <si>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</si>
  <si>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</si>
  <si>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</si>
  <si>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</si>
  <si>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</si>
  <si>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</si>
  <si>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</si>
  <si>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</si>
  <si>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</si>
  <si>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</si>
  <si>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</si>
  <si>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</si>
  <si>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</si>
  <si>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</si>
  <si>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</si>
  <si>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</si>
  <si>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</si>
  <si>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</si>
  <si>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</si>
  <si>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</si>
  <si>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</si>
  <si>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</si>
  <si>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</si>
  <si>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</si>
  <si>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</si>
  <si>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</si>
  <si>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</si>
  <si>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</si>
  <si>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</si>
  <si>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</si>
  <si>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</si>
  <si>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</si>
  <si>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</si>
  <si>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</si>
  <si>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</si>
  <si>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</si>
  <si>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</si>
  <si>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</si>
  <si>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</si>
  <si>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</si>
  <si>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</si>
  <si>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</si>
  <si>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</si>
  <si>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</si>
  <si>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</si>
  <si>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</si>
  <si>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</si>
  <si>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</si>
  <si>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</si>
  <si>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</si>
  <si>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</si>
  <si>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</si>
  <si>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</si>
  <si>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</si>
  <si>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</si>
  <si>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</si>
  <si>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</si>
  <si>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</si>
  <si>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</si>
  <si>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</si>
  <si>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</si>
  <si>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</si>
  <si>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</si>
  <si>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</si>
  <si>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</si>
  <si>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</si>
  <si>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NO MATCH REQUIREMENT</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</si>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</sst>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8"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s>
  <fills count="13">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FF0000"/>
        <bgColor indexed="64"/>
      </patternFill>
    </fill>
  </fills>
  <borders count="6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bottom style="medium">
        <color rgb="FF000000"/>
      </bottom>
      <diagonal/>
    </border>
    <border>
      <left/>
      <right style="medium">
        <color rgb="FF000000"/>
      </right>
      <top/>
      <bottom style="medium">
        <color rgb="FF000000"/>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medium">
        <color indexed="64"/>
      </left>
      <right style="thin">
        <color theme="0" tint="-0.24994659260841701"/>
      </right>
      <top/>
      <bottom style="thin">
        <color theme="0" tint="-0.24994659260841701"/>
      </bottom>
      <diagonal/>
    </border>
    <border>
      <left style="medium">
        <color indexed="64"/>
      </left>
      <right style="thin">
        <color theme="0" tint="-0.24994659260841701"/>
      </right>
      <top style="thin">
        <color theme="0" tint="-0.24994659260841701"/>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cellStyleXfs>
  <cellXfs count="323">
    <xf numFmtId="0" fontId="0" fillId="0" borderId="0" xfId="0"/>
    <xf numFmtId="0" fontId="1" fillId="0" borderId="0" xfId="3"/>
    <xf numFmtId="164" fontId="3" fillId="3" borderId="1" xfId="2" applyNumberFormat="1" applyFont="1" applyFill="1" applyBorder="1" applyProtection="1"/>
    <xf numFmtId="9" fontId="3" fillId="3" borderId="2" xfId="5" applyFont="1" applyFill="1" applyBorder="1" applyAlignment="1" applyProtection="1">
      <alignment horizontal="center"/>
    </xf>
    <xf numFmtId="164" fontId="3" fillId="3" borderId="2" xfId="2" applyNumberFormat="1" applyFont="1" applyFill="1" applyBorder="1" applyProtection="1"/>
    <xf numFmtId="0" fontId="3" fillId="3" borderId="2" xfId="3" applyFont="1" applyFill="1" applyBorder="1" applyAlignment="1" applyProtection="1">
      <alignment horizontal="center"/>
    </xf>
    <xf numFmtId="0" fontId="3" fillId="3" borderId="2" xfId="3" applyFont="1" applyFill="1" applyBorder="1" applyAlignment="1" applyProtection="1">
      <alignment horizontal="right"/>
    </xf>
    <xf numFmtId="0" fontId="3" fillId="3" borderId="2" xfId="3" applyFont="1" applyFill="1" applyBorder="1" applyAlignment="1" applyProtection="1">
      <alignment horizontal="left"/>
    </xf>
    <xf numFmtId="0" fontId="3" fillId="3" borderId="3" xfId="3" applyFont="1" applyFill="1" applyBorder="1" applyAlignment="1" applyProtection="1">
      <alignment horizontal="right"/>
    </xf>
    <xf numFmtId="164" fontId="2" fillId="3" borderId="1" xfId="2" applyNumberFormat="1" applyFont="1" applyFill="1" applyBorder="1" applyProtection="1"/>
    <xf numFmtId="9" fontId="2" fillId="3" borderId="2" xfId="5" applyFont="1" applyFill="1" applyBorder="1" applyAlignment="1" applyProtection="1">
      <alignment horizontal="center"/>
    </xf>
    <xf numFmtId="164" fontId="2" fillId="3" borderId="2" xfId="2" applyNumberFormat="1" applyFont="1" applyFill="1" applyBorder="1" applyProtection="1"/>
    <xf numFmtId="0" fontId="2" fillId="3" borderId="2" xfId="3" applyFont="1" applyFill="1" applyBorder="1" applyAlignment="1" applyProtection="1">
      <alignment horizontal="center"/>
    </xf>
    <xf numFmtId="0" fontId="2" fillId="3" borderId="2" xfId="3" applyFont="1" applyFill="1" applyBorder="1" applyAlignment="1" applyProtection="1">
      <alignment horizontal="right"/>
    </xf>
    <xf numFmtId="166" fontId="6" fillId="3" borderId="9" xfId="1" applyNumberFormat="1" applyFont="1" applyFill="1" applyBorder="1" applyAlignment="1" applyProtection="1">
      <alignment horizontal="center"/>
    </xf>
    <xf numFmtId="9" fontId="6" fillId="3" borderId="10" xfId="5" applyFont="1" applyFill="1" applyBorder="1" applyAlignment="1" applyProtection="1">
      <alignment horizontal="center"/>
    </xf>
    <xf numFmtId="0" fontId="6" fillId="3" borderId="10" xfId="3" applyFont="1" applyFill="1" applyBorder="1" applyAlignment="1" applyProtection="1">
      <alignment horizontal="center"/>
    </xf>
    <xf numFmtId="0" fontId="1" fillId="3" borderId="10" xfId="3" applyFont="1" applyFill="1" applyBorder="1" applyProtection="1"/>
    <xf numFmtId="0" fontId="2" fillId="3" borderId="10" xfId="3" applyFont="1" applyFill="1" applyBorder="1" applyProtection="1"/>
    <xf numFmtId="0" fontId="2" fillId="3" borderId="11" xfId="3" applyFont="1" applyFill="1" applyBorder="1" applyProtection="1"/>
    <xf numFmtId="166" fontId="6" fillId="3" borderId="7" xfId="1" applyNumberFormat="1" applyFont="1" applyFill="1" applyBorder="1" applyAlignment="1" applyProtection="1">
      <alignment horizontal="center"/>
    </xf>
    <xf numFmtId="9" fontId="6" fillId="3" borderId="0" xfId="5" applyFont="1" applyFill="1" applyBorder="1" applyAlignment="1" applyProtection="1">
      <alignment horizontal="center"/>
    </xf>
    <xf numFmtId="0" fontId="6" fillId="3" borderId="0" xfId="3" applyFont="1" applyFill="1" applyBorder="1" applyAlignment="1" applyProtection="1">
      <alignment horizontal="center"/>
    </xf>
    <xf numFmtId="0" fontId="2" fillId="3" borderId="11" xfId="3" applyFont="1" applyFill="1" applyBorder="1" applyAlignment="1" applyProtection="1">
      <alignment wrapText="1"/>
    </xf>
    <xf numFmtId="0" fontId="2" fillId="4" borderId="1" xfId="3" applyFont="1" applyFill="1" applyBorder="1" applyAlignment="1" applyProtection="1"/>
    <xf numFmtId="0" fontId="2" fillId="4" borderId="2" xfId="3" applyFont="1" applyFill="1" applyBorder="1" applyAlignment="1" applyProtection="1"/>
    <xf numFmtId="0" fontId="2" fillId="4"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3" borderId="25" xfId="3" applyFont="1" applyFill="1" applyBorder="1" applyAlignment="1" applyProtection="1">
      <alignment horizontal="left"/>
    </xf>
    <xf numFmtId="0" fontId="2" fillId="3" borderId="26" xfId="3" applyFont="1" applyFill="1" applyBorder="1" applyAlignment="1" applyProtection="1">
      <alignment horizontal="right"/>
    </xf>
    <xf numFmtId="0" fontId="2" fillId="3" borderId="26" xfId="3" applyFont="1" applyFill="1" applyBorder="1" applyAlignment="1" applyProtection="1">
      <alignment horizontal="center"/>
    </xf>
    <xf numFmtId="164" fontId="2" fillId="3" borderId="26" xfId="2" applyNumberFormat="1" applyFont="1" applyFill="1" applyBorder="1" applyProtection="1"/>
    <xf numFmtId="9" fontId="2" fillId="3" borderId="26" xfId="5" applyFont="1" applyFill="1" applyBorder="1" applyAlignment="1" applyProtection="1">
      <alignment horizontal="center"/>
    </xf>
    <xf numFmtId="164" fontId="2" fillId="3" borderId="27" xfId="2" applyNumberFormat="1" applyFont="1" applyFill="1" applyBorder="1" applyProtection="1"/>
    <xf numFmtId="0" fontId="11" fillId="0" borderId="0" xfId="3" applyFont="1" applyFill="1" applyBorder="1" applyAlignment="1" applyProtection="1">
      <alignment horizontal="center"/>
    </xf>
    <xf numFmtId="0" fontId="11" fillId="3" borderId="8" xfId="3" applyFont="1" applyFill="1" applyBorder="1" applyAlignment="1" applyProtection="1"/>
    <xf numFmtId="0" fontId="11" fillId="3" borderId="0" xfId="3" applyFont="1" applyFill="1" applyBorder="1" applyAlignment="1" applyProtection="1">
      <alignment wrapText="1"/>
    </xf>
    <xf numFmtId="0" fontId="11" fillId="3" borderId="0" xfId="3" applyFont="1" applyFill="1" applyBorder="1" applyProtection="1"/>
    <xf numFmtId="0" fontId="11" fillId="3" borderId="7" xfId="3" applyFont="1" applyFill="1" applyBorder="1" applyProtection="1"/>
    <xf numFmtId="0" fontId="11" fillId="0" borderId="0" xfId="3" applyFont="1" applyFill="1" applyBorder="1" applyProtection="1"/>
    <xf numFmtId="164" fontId="11" fillId="3" borderId="0" xfId="2" applyNumberFormat="1" applyFont="1" applyFill="1" applyBorder="1" applyProtection="1"/>
    <xf numFmtId="9" fontId="11" fillId="3" borderId="0" xfId="5" applyFont="1" applyFill="1" applyBorder="1" applyAlignment="1" applyProtection="1">
      <alignment horizontal="center"/>
    </xf>
    <xf numFmtId="44" fontId="11" fillId="3" borderId="7" xfId="2" applyFont="1" applyFill="1" applyBorder="1" applyProtection="1"/>
    <xf numFmtId="0" fontId="11" fillId="0" borderId="0" xfId="3" applyFont="1" applyFill="1" applyProtection="1"/>
    <xf numFmtId="0" fontId="11" fillId="3" borderId="8" xfId="3" applyFont="1" applyFill="1" applyBorder="1" applyProtection="1"/>
    <xf numFmtId="0" fontId="6" fillId="3"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4" borderId="10" xfId="3" applyFont="1" applyFill="1" applyBorder="1" applyAlignment="1" applyProtection="1"/>
    <xf numFmtId="164" fontId="4" fillId="2"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3"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4" borderId="9" xfId="3" applyFont="1" applyFill="1" applyBorder="1" applyAlignment="1" applyProtection="1"/>
    <xf numFmtId="0" fontId="3" fillId="4" borderId="11" xfId="3" applyFont="1" applyFill="1" applyBorder="1" applyAlignment="1" applyProtection="1"/>
    <xf numFmtId="0" fontId="3" fillId="7" borderId="18" xfId="3" applyFont="1" applyFill="1" applyBorder="1" applyAlignment="1" applyProtection="1">
      <alignment horizontal="left"/>
    </xf>
    <xf numFmtId="0" fontId="3" fillId="7"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7"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7" borderId="34" xfId="2" applyNumberFormat="1" applyFont="1" applyFill="1" applyBorder="1" applyProtection="1"/>
    <xf numFmtId="164" fontId="3" fillId="7"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8" borderId="1" xfId="3" applyFont="1" applyFill="1" applyBorder="1" applyAlignment="1">
      <alignment horizontal="center" vertical="center" wrapText="1"/>
    </xf>
    <xf numFmtId="0" fontId="16" fillId="8"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9"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4" borderId="11" xfId="3" applyNumberFormat="1" applyFont="1" applyFill="1" applyBorder="1" applyAlignment="1" applyProtection="1">
      <alignment horizontal="center"/>
    </xf>
    <xf numFmtId="41" fontId="20" fillId="4" borderId="10" xfId="3" applyNumberFormat="1" applyFont="1" applyFill="1" applyBorder="1" applyAlignment="1" applyProtection="1">
      <alignment horizontal="center" wrapText="1"/>
    </xf>
    <xf numFmtId="0" fontId="1" fillId="4" borderId="9" xfId="3" applyFont="1" applyFill="1" applyBorder="1" applyProtection="1"/>
    <xf numFmtId="0" fontId="4" fillId="6" borderId="8" xfId="3" applyFont="1" applyFill="1" applyBorder="1" applyProtection="1"/>
    <xf numFmtId="0" fontId="4" fillId="2" borderId="0" xfId="3" applyFont="1" applyFill="1" applyBorder="1" applyAlignment="1" applyProtection="1">
      <alignment horizontal="center"/>
    </xf>
    <xf numFmtId="0" fontId="4" fillId="6" borderId="0" xfId="3" applyFont="1" applyFill="1" applyBorder="1" applyAlignment="1" applyProtection="1">
      <alignment horizontal="center"/>
    </xf>
    <xf numFmtId="0" fontId="19" fillId="6" borderId="7" xfId="3" applyFont="1" applyFill="1" applyBorder="1" applyProtection="1"/>
    <xf numFmtId="9" fontId="4" fillId="2" borderId="8" xfId="3" applyNumberFormat="1" applyFont="1" applyFill="1" applyBorder="1" applyProtection="1"/>
    <xf numFmtId="9" fontId="4" fillId="2" borderId="0" xfId="3" applyNumberFormat="1" applyFont="1" applyFill="1" applyBorder="1" applyAlignment="1" applyProtection="1">
      <alignment horizontal="center"/>
    </xf>
    <xf numFmtId="9" fontId="4" fillId="6" borderId="0" xfId="3" applyNumberFormat="1" applyFont="1" applyFill="1" applyBorder="1" applyAlignment="1" applyProtection="1">
      <alignment horizontal="center"/>
    </xf>
    <xf numFmtId="41" fontId="5" fillId="4" borderId="8" xfId="3" applyNumberFormat="1" applyFont="1" applyFill="1" applyBorder="1" applyAlignment="1" applyProtection="1">
      <alignment horizontal="center"/>
    </xf>
    <xf numFmtId="164" fontId="4" fillId="6" borderId="0" xfId="2" applyNumberFormat="1" applyFont="1" applyFill="1" applyBorder="1" applyAlignment="1" applyProtection="1">
      <alignment horizontal="right"/>
    </xf>
    <xf numFmtId="164" fontId="4" fillId="6" borderId="7" xfId="2" applyNumberFormat="1" applyFont="1" applyFill="1" applyBorder="1" applyAlignment="1" applyProtection="1">
      <alignment horizontal="right"/>
    </xf>
    <xf numFmtId="165" fontId="4" fillId="2" borderId="0" xfId="3" applyNumberFormat="1" applyFont="1" applyFill="1" applyBorder="1" applyAlignment="1" applyProtection="1">
      <alignment horizontal="center"/>
    </xf>
    <xf numFmtId="164" fontId="4" fillId="6" borderId="0" xfId="2" applyNumberFormat="1" applyFont="1" applyFill="1" applyBorder="1" applyAlignment="1" applyProtection="1">
      <alignment horizontal="center"/>
    </xf>
    <xf numFmtId="165" fontId="4" fillId="2" borderId="7" xfId="3" applyNumberFormat="1" applyFont="1" applyFill="1" applyBorder="1" applyAlignment="1" applyProtection="1">
      <alignment horizontal="center"/>
    </xf>
    <xf numFmtId="0" fontId="3" fillId="9" borderId="3" xfId="3" applyFont="1" applyFill="1" applyBorder="1" applyProtection="1"/>
    <xf numFmtId="165" fontId="3" fillId="9" borderId="2" xfId="3" applyNumberFormat="1" applyFont="1" applyFill="1" applyBorder="1" applyAlignment="1" applyProtection="1">
      <alignment horizontal="center"/>
    </xf>
    <xf numFmtId="165" fontId="3" fillId="9" borderId="1" xfId="3" applyNumberFormat="1" applyFont="1" applyFill="1" applyBorder="1" applyAlignment="1" applyProtection="1">
      <alignment horizontal="center"/>
    </xf>
    <xf numFmtId="0" fontId="19" fillId="6" borderId="0" xfId="3" applyFont="1" applyFill="1" applyBorder="1" applyAlignment="1" applyProtection="1">
      <alignment horizontal="center"/>
    </xf>
    <xf numFmtId="0" fontId="19" fillId="0" borderId="0" xfId="3" applyFont="1" applyProtection="1"/>
    <xf numFmtId="0" fontId="1" fillId="0" borderId="41" xfId="3" applyFont="1" applyFill="1" applyBorder="1" applyProtection="1"/>
    <xf numFmtId="0" fontId="2" fillId="3" borderId="36" xfId="3" applyFont="1" applyFill="1" applyBorder="1" applyAlignment="1" applyProtection="1">
      <alignment wrapText="1"/>
    </xf>
    <xf numFmtId="0" fontId="2" fillId="3" borderId="37" xfId="3" applyFont="1" applyFill="1" applyBorder="1" applyProtection="1"/>
    <xf numFmtId="0" fontId="1" fillId="3" borderId="37" xfId="3" applyFont="1" applyFill="1" applyBorder="1" applyProtection="1"/>
    <xf numFmtId="0" fontId="6" fillId="3" borderId="37" xfId="3" applyFont="1" applyFill="1" applyBorder="1" applyAlignment="1" applyProtection="1">
      <alignment horizontal="center"/>
    </xf>
    <xf numFmtId="9" fontId="6" fillId="3" borderId="37" xfId="5" applyFont="1" applyFill="1" applyBorder="1" applyAlignment="1" applyProtection="1">
      <alignment horizontal="center"/>
    </xf>
    <xf numFmtId="166" fontId="6" fillId="3" borderId="38" xfId="1" applyNumberFormat="1" applyFont="1" applyFill="1" applyBorder="1" applyAlignment="1" applyProtection="1">
      <alignment horizontal="center"/>
    </xf>
    <xf numFmtId="0" fontId="11" fillId="3" borderId="39" xfId="3" applyFont="1" applyFill="1" applyBorder="1" applyAlignment="1" applyProtection="1"/>
    <xf numFmtId="166" fontId="6" fillId="3" borderId="42" xfId="1" applyNumberFormat="1" applyFont="1" applyFill="1" applyBorder="1" applyAlignment="1" applyProtection="1">
      <alignment horizontal="center"/>
    </xf>
    <xf numFmtId="0" fontId="10" fillId="0" borderId="39" xfId="3" applyFont="1" applyFill="1" applyBorder="1" applyAlignment="1" applyProtection="1">
      <alignment wrapText="1"/>
    </xf>
    <xf numFmtId="166" fontId="7" fillId="0" borderId="42" xfId="1" applyNumberFormat="1" applyFont="1" applyFill="1" applyBorder="1" applyAlignment="1" applyProtection="1">
      <alignment horizontal="center" wrapText="1"/>
    </xf>
    <xf numFmtId="0" fontId="1" fillId="0" borderId="40" xfId="3"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43" xfId="2" applyNumberFormat="1" applyFont="1" applyFill="1" applyBorder="1" applyProtection="1"/>
    <xf numFmtId="9" fontId="2" fillId="0" borderId="43" xfId="5" applyFont="1" applyFill="1" applyBorder="1" applyAlignment="1" applyProtection="1">
      <alignment horizontal="center"/>
    </xf>
    <xf numFmtId="164" fontId="2" fillId="0" borderId="44"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3" borderId="46"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4" borderId="2" xfId="5" applyFont="1" applyFill="1" applyBorder="1" applyAlignment="1" applyProtection="1"/>
    <xf numFmtId="9" fontId="11" fillId="3" borderId="0" xfId="5" applyFont="1" applyFill="1" applyBorder="1" applyProtection="1"/>
    <xf numFmtId="165" fontId="4" fillId="2"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3"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0" fontId="2" fillId="11" borderId="12" xfId="3" applyFont="1" applyFill="1" applyBorder="1" applyProtection="1"/>
    <xf numFmtId="0" fontId="2" fillId="11" borderId="17" xfId="3" applyFont="1" applyFill="1" applyBorder="1" applyProtection="1"/>
    <xf numFmtId="0" fontId="1" fillId="11" borderId="22" xfId="0" applyFont="1" applyFill="1" applyBorder="1" applyAlignment="1" applyProtection="1">
      <alignment horizontal="left" vertical="top"/>
    </xf>
    <xf numFmtId="43" fontId="1" fillId="11" borderId="22" xfId="0" applyNumberFormat="1" applyFont="1" applyFill="1" applyBorder="1" applyAlignment="1" applyProtection="1">
      <alignment horizontal="center" vertical="top" shrinkToFit="1"/>
    </xf>
    <xf numFmtId="44" fontId="1" fillId="11" borderId="22" xfId="0" applyNumberFormat="1" applyFont="1" applyFill="1" applyBorder="1" applyAlignment="1" applyProtection="1">
      <alignment horizontal="center" vertical="top" shrinkToFit="1"/>
    </xf>
    <xf numFmtId="0" fontId="1" fillId="11" borderId="22" xfId="0" applyFont="1" applyFill="1" applyBorder="1" applyAlignment="1" applyProtection="1">
      <alignment horizontal="center" vertical="top" shrinkToFit="1"/>
    </xf>
    <xf numFmtId="9" fontId="1" fillId="11" borderId="22" xfId="0" applyNumberFormat="1" applyFont="1" applyFill="1" applyBorder="1" applyAlignment="1" applyProtection="1">
      <alignment horizontal="center" vertical="top" shrinkToFit="1"/>
    </xf>
    <xf numFmtId="44" fontId="1" fillId="11" borderId="22" xfId="2" applyFont="1" applyFill="1" applyBorder="1" applyProtection="1"/>
    <xf numFmtId="164" fontId="1" fillId="11" borderId="22" xfId="2" applyNumberFormat="1" applyFont="1" applyFill="1" applyBorder="1" applyProtection="1"/>
    <xf numFmtId="164" fontId="1" fillId="11" borderId="21" xfId="2" applyNumberFormat="1" applyFont="1" applyFill="1" applyBorder="1" applyProtection="1"/>
    <xf numFmtId="43" fontId="1" fillId="11" borderId="23" xfId="0" applyNumberFormat="1" applyFont="1" applyFill="1" applyBorder="1" applyAlignment="1" applyProtection="1">
      <alignment horizontal="center" vertical="top" shrinkToFit="1"/>
    </xf>
    <xf numFmtId="44" fontId="1" fillId="11" borderId="23" xfId="0" applyNumberFormat="1" applyFont="1" applyFill="1" applyBorder="1" applyAlignment="1" applyProtection="1">
      <alignment horizontal="center" vertical="top" shrinkToFit="1"/>
    </xf>
    <xf numFmtId="0" fontId="1" fillId="11" borderId="23" xfId="0" applyFont="1" applyFill="1" applyBorder="1" applyAlignment="1" applyProtection="1">
      <alignment horizontal="center" vertical="top" shrinkToFit="1"/>
    </xf>
    <xf numFmtId="9" fontId="1" fillId="11" borderId="23" xfId="0" applyNumberFormat="1" applyFont="1" applyFill="1" applyBorder="1" applyAlignment="1" applyProtection="1">
      <alignment horizontal="center" vertical="top" shrinkToFit="1"/>
    </xf>
    <xf numFmtId="0" fontId="1" fillId="11" borderId="32" xfId="0" applyFont="1" applyFill="1" applyBorder="1" applyAlignment="1" applyProtection="1">
      <alignment horizontal="left" vertical="top"/>
    </xf>
    <xf numFmtId="0" fontId="1" fillId="11" borderId="28" xfId="0" applyFont="1" applyFill="1" applyBorder="1" applyAlignment="1" applyProtection="1">
      <alignment horizontal="left" vertical="top" shrinkToFit="1"/>
    </xf>
    <xf numFmtId="44" fontId="1" fillId="11" borderId="23" xfId="2" applyFont="1" applyFill="1" applyBorder="1" applyProtection="1"/>
    <xf numFmtId="0" fontId="1" fillId="11" borderId="31" xfId="3" applyFont="1" applyFill="1" applyBorder="1" applyAlignment="1" applyProtection="1">
      <alignment horizontal="left" vertical="top"/>
    </xf>
    <xf numFmtId="164" fontId="1" fillId="11" borderId="23" xfId="2" applyNumberFormat="1" applyFont="1" applyFill="1" applyBorder="1" applyProtection="1"/>
    <xf numFmtId="0" fontId="1" fillId="11" borderId="8" xfId="3" applyFont="1" applyFill="1" applyBorder="1" applyAlignment="1" applyProtection="1">
      <alignment horizontal="left" vertical="top" wrapText="1"/>
    </xf>
    <xf numFmtId="0" fontId="1" fillId="11" borderId="45" xfId="0" applyFont="1" applyFill="1" applyBorder="1" applyAlignment="1" applyProtection="1">
      <alignment horizontal="left" vertical="top" shrinkToFit="1"/>
    </xf>
    <xf numFmtId="44" fontId="4" fillId="11" borderId="16" xfId="2" applyFont="1" applyFill="1" applyBorder="1" applyAlignment="1" applyProtection="1">
      <alignment horizontal="center" vertical="center" wrapText="1"/>
    </xf>
    <xf numFmtId="0" fontId="4" fillId="11" borderId="49" xfId="3" applyFont="1" applyFill="1" applyBorder="1" applyAlignment="1" applyProtection="1">
      <alignment horizontal="center" vertical="center"/>
    </xf>
    <xf numFmtId="0" fontId="3" fillId="12" borderId="20" xfId="3" applyFont="1" applyFill="1" applyBorder="1" applyAlignment="1" applyProtection="1">
      <alignment horizontal="center" wrapText="1"/>
    </xf>
    <xf numFmtId="1" fontId="4" fillId="11"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0" fontId="21" fillId="3" borderId="16" xfId="3" applyFont="1" applyFill="1" applyBorder="1" applyAlignment="1" applyProtection="1">
      <alignment horizontal="left" vertical="center" wrapText="1"/>
    </xf>
    <xf numFmtId="0" fontId="2" fillId="3" borderId="50" xfId="3" applyFont="1" applyFill="1" applyBorder="1" applyAlignment="1" applyProtection="1">
      <alignment horizontal="left"/>
    </xf>
    <xf numFmtId="0" fontId="2" fillId="3" borderId="41" xfId="3" applyFont="1" applyFill="1" applyBorder="1" applyAlignment="1" applyProtection="1">
      <alignment horizontal="right"/>
    </xf>
    <xf numFmtId="164" fontId="2" fillId="3" borderId="41" xfId="2" applyNumberFormat="1" applyFont="1" applyFill="1" applyBorder="1" applyProtection="1"/>
    <xf numFmtId="9" fontId="2" fillId="3" borderId="41" xfId="5" applyFont="1" applyFill="1" applyBorder="1" applyAlignment="1" applyProtection="1">
      <alignment horizontal="center"/>
    </xf>
    <xf numFmtId="164" fontId="2" fillId="3" borderId="51" xfId="2" applyNumberFormat="1" applyFont="1" applyFill="1" applyBorder="1" applyProtection="1"/>
    <xf numFmtId="0" fontId="1" fillId="11" borderId="52" xfId="0" applyFont="1" applyFill="1" applyBorder="1" applyAlignment="1" applyProtection="1">
      <alignment horizontal="left" vertical="top"/>
    </xf>
    <xf numFmtId="0" fontId="1" fillId="11" borderId="53" xfId="0" applyFont="1" applyFill="1" applyBorder="1" applyAlignment="1" applyProtection="1">
      <alignment horizontal="left" vertical="top"/>
    </xf>
    <xf numFmtId="43" fontId="1" fillId="11" borderId="53" xfId="0" applyNumberFormat="1" applyFont="1" applyFill="1" applyBorder="1" applyAlignment="1" applyProtection="1">
      <alignment horizontal="center" vertical="top" shrinkToFit="1"/>
    </xf>
    <xf numFmtId="44" fontId="1" fillId="11" borderId="53" xfId="0" applyNumberFormat="1" applyFont="1" applyFill="1" applyBorder="1" applyAlignment="1" applyProtection="1">
      <alignment horizontal="center" vertical="top" shrinkToFit="1"/>
    </xf>
    <xf numFmtId="9" fontId="1" fillId="11" borderId="53" xfId="0" applyNumberFormat="1" applyFont="1" applyFill="1" applyBorder="1" applyAlignment="1" applyProtection="1">
      <alignment horizontal="center" vertical="top" shrinkToFit="1"/>
    </xf>
    <xf numFmtId="44" fontId="1" fillId="11" borderId="53" xfId="2" applyFont="1" applyFill="1" applyBorder="1" applyProtection="1"/>
    <xf numFmtId="164" fontId="1" fillId="11" borderId="53" xfId="2" applyNumberFormat="1" applyFont="1" applyFill="1" applyBorder="1" applyProtection="1"/>
    <xf numFmtId="164" fontId="1" fillId="0" borderId="53" xfId="3" applyNumberFormat="1" applyFont="1" applyFill="1" applyBorder="1" applyProtection="1"/>
    <xf numFmtId="9" fontId="1" fillId="0" borderId="53" xfId="5" applyFont="1" applyFill="1" applyBorder="1" applyAlignment="1" applyProtection="1">
      <alignment horizontal="center"/>
    </xf>
    <xf numFmtId="0" fontId="1" fillId="11" borderId="55" xfId="0" applyFont="1" applyFill="1" applyBorder="1" applyAlignment="1" applyProtection="1">
      <alignment horizontal="left" vertical="top"/>
    </xf>
    <xf numFmtId="0" fontId="1" fillId="11" borderId="56" xfId="0" applyFont="1" applyFill="1" applyBorder="1" applyAlignment="1" applyProtection="1">
      <alignment horizontal="left" vertical="top"/>
    </xf>
    <xf numFmtId="0" fontId="1" fillId="11" borderId="43" xfId="0" applyFont="1" applyFill="1" applyBorder="1" applyAlignment="1" applyProtection="1">
      <alignment horizontal="left" vertical="top"/>
    </xf>
    <xf numFmtId="43" fontId="1" fillId="11" borderId="43" xfId="0" applyNumberFormat="1" applyFont="1" applyFill="1" applyBorder="1" applyAlignment="1" applyProtection="1">
      <alignment horizontal="center" vertical="top" shrinkToFit="1"/>
    </xf>
    <xf numFmtId="44" fontId="1" fillId="11" borderId="43" xfId="0" applyNumberFormat="1" applyFont="1" applyFill="1" applyBorder="1" applyAlignment="1" applyProtection="1">
      <alignment horizontal="center" vertical="top" shrinkToFit="1"/>
    </xf>
    <xf numFmtId="0" fontId="1" fillId="11" borderId="43" xfId="0" applyFont="1" applyFill="1" applyBorder="1" applyAlignment="1" applyProtection="1">
      <alignment horizontal="center" vertical="top" shrinkToFit="1"/>
    </xf>
    <xf numFmtId="9" fontId="1" fillId="11" borderId="43" xfId="0" applyNumberFormat="1" applyFont="1" applyFill="1" applyBorder="1" applyAlignment="1" applyProtection="1">
      <alignment horizontal="center" vertical="top" shrinkToFit="1"/>
    </xf>
    <xf numFmtId="44" fontId="1" fillId="11" borderId="43" xfId="2" applyFont="1" applyFill="1" applyBorder="1" applyProtection="1"/>
    <xf numFmtId="164" fontId="1" fillId="11" borderId="57" xfId="2" applyNumberFormat="1" applyFont="1" applyFill="1" applyBorder="1" applyProtection="1"/>
    <xf numFmtId="164" fontId="1" fillId="0" borderId="43" xfId="3" applyNumberFormat="1" applyFont="1" applyFill="1" applyBorder="1" applyProtection="1"/>
    <xf numFmtId="9" fontId="1" fillId="0" borderId="43" xfId="5" applyFont="1" applyFill="1" applyBorder="1" applyAlignment="1" applyProtection="1">
      <alignment horizontal="center"/>
    </xf>
    <xf numFmtId="0" fontId="1" fillId="11" borderId="31" xfId="0" applyFont="1" applyFill="1" applyBorder="1" applyAlignment="1" applyProtection="1">
      <alignment horizontal="left" vertical="top"/>
    </xf>
    <xf numFmtId="41" fontId="20" fillId="4" borderId="0" xfId="3" applyNumberFormat="1" applyFont="1" applyFill="1" applyBorder="1" applyAlignment="1" applyProtection="1">
      <alignment horizontal="center" wrapText="1"/>
    </xf>
    <xf numFmtId="41" fontId="20" fillId="4" borderId="7" xfId="3" applyNumberFormat="1" applyFont="1" applyFill="1" applyBorder="1" applyAlignment="1" applyProtection="1">
      <alignment horizontal="center" wrapText="1"/>
    </xf>
    <xf numFmtId="0" fontId="12" fillId="0" borderId="0" xfId="3" applyFont="1" applyAlignment="1" applyProtection="1">
      <alignment vertical="top"/>
    </xf>
    <xf numFmtId="0" fontId="2" fillId="0" borderId="8" xfId="3" applyFont="1" applyBorder="1" applyAlignment="1" applyProtection="1">
      <alignment horizontal="left"/>
    </xf>
    <xf numFmtId="0" fontId="11" fillId="11" borderId="12" xfId="3" applyFont="1" applyFill="1" applyBorder="1" applyProtection="1"/>
    <xf numFmtId="44" fontId="1" fillId="5" borderId="12" xfId="2" applyFont="1" applyFill="1" applyBorder="1" applyProtection="1"/>
    <xf numFmtId="44" fontId="1" fillId="0" borderId="12" xfId="2" applyFont="1" applyFill="1" applyBorder="1" applyProtection="1"/>
    <xf numFmtId="164" fontId="1" fillId="5" borderId="53" xfId="2" applyNumberFormat="1" applyFont="1" applyFill="1" applyBorder="1" applyProtection="1"/>
    <xf numFmtId="164" fontId="1" fillId="5" borderId="54" xfId="3" applyNumberFormat="1" applyFont="1" applyFill="1" applyBorder="1" applyProtection="1"/>
    <xf numFmtId="164" fontId="1" fillId="5" borderId="22" xfId="2" applyNumberFormat="1" applyFont="1" applyFill="1" applyBorder="1" applyProtection="1"/>
    <xf numFmtId="164" fontId="1" fillId="5" borderId="24" xfId="3" applyNumberFormat="1" applyFont="1" applyFill="1" applyBorder="1" applyProtection="1"/>
    <xf numFmtId="164" fontId="1" fillId="5" borderId="24" xfId="2" applyNumberFormat="1" applyFont="1" applyFill="1" applyBorder="1" applyProtection="1"/>
    <xf numFmtId="164" fontId="1" fillId="5" borderId="43" xfId="2" applyNumberFormat="1" applyFont="1" applyFill="1" applyBorder="1" applyProtection="1"/>
    <xf numFmtId="164" fontId="1" fillId="5" borderId="44" xfId="3" applyNumberFormat="1" applyFont="1" applyFill="1" applyBorder="1" applyProtection="1"/>
    <xf numFmtId="44" fontId="1" fillId="5" borderId="24" xfId="2" applyFont="1" applyFill="1" applyBorder="1" applyProtection="1"/>
    <xf numFmtId="164" fontId="1" fillId="5" borderId="21" xfId="2" applyNumberFormat="1" applyFont="1" applyFill="1" applyBorder="1" applyProtection="1"/>
    <xf numFmtId="44" fontId="1" fillId="5" borderId="30" xfId="2" applyFont="1" applyFill="1" applyBorder="1" applyProtection="1"/>
    <xf numFmtId="164" fontId="1" fillId="5" borderId="23" xfId="2" applyNumberFormat="1" applyFont="1" applyFill="1" applyBorder="1" applyProtection="1"/>
    <xf numFmtId="44" fontId="1" fillId="5" borderId="29" xfId="2" applyFont="1" applyFill="1" applyBorder="1" applyProtection="1"/>
    <xf numFmtId="0" fontId="1" fillId="11" borderId="28" xfId="2" applyNumberFormat="1" applyFont="1" applyFill="1" applyBorder="1" applyProtection="1"/>
    <xf numFmtId="164" fontId="1" fillId="5" borderId="33" xfId="2" applyNumberFormat="1" applyFont="1" applyFill="1" applyBorder="1" applyProtection="1"/>
    <xf numFmtId="1" fontId="4" fillId="5" borderId="16" xfId="3" applyNumberFormat="1" applyFont="1" applyFill="1" applyBorder="1" applyAlignment="1" applyProtection="1">
      <alignment horizontal="center" vertical="center" wrapText="1"/>
    </xf>
    <xf numFmtId="1" fontId="22" fillId="5" borderId="16" xfId="3" applyNumberFormat="1" applyFont="1" applyFill="1" applyBorder="1" applyAlignment="1" applyProtection="1">
      <alignment vertical="center" wrapText="1"/>
    </xf>
    <xf numFmtId="1" fontId="22" fillId="5"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3" borderId="47" xfId="3" applyFont="1" applyFill="1" applyBorder="1" applyAlignment="1" applyProtection="1">
      <alignment horizontal="center" vertical="center"/>
    </xf>
    <xf numFmtId="0" fontId="21" fillId="3" borderId="48" xfId="3" applyFont="1" applyFill="1" applyBorder="1" applyAlignment="1" applyProtection="1">
      <alignment horizontal="center" vertical="center"/>
    </xf>
    <xf numFmtId="0" fontId="4" fillId="0" borderId="0" xfId="3" applyFont="1" applyAlignment="1" applyProtection="1">
      <alignment vertical="center"/>
    </xf>
    <xf numFmtId="0" fontId="1" fillId="11" borderId="58" xfId="0" applyFont="1" applyFill="1" applyBorder="1" applyAlignment="1" applyProtection="1">
      <alignment horizontal="left" vertical="top"/>
    </xf>
    <xf numFmtId="0" fontId="1" fillId="11" borderId="21" xfId="0" applyFont="1" applyFill="1" applyBorder="1" applyAlignment="1" applyProtection="1">
      <alignment horizontal="left" vertical="top"/>
    </xf>
    <xf numFmtId="43" fontId="1" fillId="11" borderId="21" xfId="0" applyNumberFormat="1" applyFont="1" applyFill="1" applyBorder="1" applyAlignment="1" applyProtection="1">
      <alignment horizontal="center" vertical="top" shrinkToFit="1"/>
    </xf>
    <xf numFmtId="44" fontId="1" fillId="11" borderId="21" xfId="0" applyNumberFormat="1" applyFont="1" applyFill="1" applyBorder="1" applyAlignment="1" applyProtection="1">
      <alignment horizontal="center" vertical="top" shrinkToFit="1"/>
    </xf>
    <xf numFmtId="0" fontId="1" fillId="11" borderId="21" xfId="0" applyFont="1" applyFill="1" applyBorder="1" applyAlignment="1" applyProtection="1">
      <alignment horizontal="center" vertical="top" shrinkToFit="1"/>
    </xf>
    <xf numFmtId="164" fontId="1" fillId="0" borderId="21" xfId="3" applyNumberFormat="1" applyFont="1" applyFill="1" applyBorder="1" applyProtection="1"/>
    <xf numFmtId="164" fontId="1" fillId="5" borderId="30" xfId="3" applyNumberFormat="1" applyFont="1" applyFill="1" applyBorder="1" applyProtection="1"/>
    <xf numFmtId="0" fontId="1" fillId="11" borderId="59" xfId="0" applyFont="1" applyFill="1" applyBorder="1" applyAlignment="1" applyProtection="1">
      <alignment horizontal="left" vertical="top"/>
    </xf>
    <xf numFmtId="0" fontId="1" fillId="11" borderId="23" xfId="0" applyFont="1" applyFill="1" applyBorder="1" applyAlignment="1" applyProtection="1">
      <alignment horizontal="left" vertical="top"/>
    </xf>
    <xf numFmtId="164" fontId="1" fillId="11" borderId="33" xfId="2" applyNumberFormat="1" applyFont="1" applyFill="1" applyBorder="1" applyProtection="1"/>
    <xf numFmtId="164" fontId="1" fillId="0" borderId="23" xfId="3" applyNumberFormat="1" applyFont="1" applyFill="1" applyBorder="1" applyProtection="1"/>
    <xf numFmtId="164" fontId="1" fillId="5" borderId="29" xfId="3" applyNumberFormat="1" applyFont="1" applyFill="1" applyBorder="1" applyProtection="1"/>
    <xf numFmtId="2" fontId="2" fillId="3" borderId="41" xfId="3" applyNumberFormat="1" applyFont="1" applyFill="1" applyBorder="1" applyAlignment="1" applyProtection="1">
      <alignment horizontal="center"/>
    </xf>
    <xf numFmtId="0" fontId="1" fillId="0" borderId="0" xfId="0" applyFont="1" applyProtection="1"/>
    <xf numFmtId="0" fontId="1" fillId="0" borderId="0" xfId="3" applyAlignment="1">
      <alignment horizontal="left" vertical="center" wrapText="1"/>
    </xf>
    <xf numFmtId="0" fontId="17" fillId="10" borderId="0" xfId="3" applyFont="1" applyFill="1" applyAlignment="1">
      <alignment horizontal="left" vertical="center" wrapText="1"/>
    </xf>
    <xf numFmtId="0" fontId="12" fillId="0" borderId="0" xfId="3" applyFont="1" applyAlignment="1">
      <alignment horizontal="center"/>
    </xf>
    <xf numFmtId="0" fontId="1" fillId="0" borderId="0" xfId="3" applyAlignment="1">
      <alignment horizontal="left" vertical="center" wrapText="1" indent="1"/>
    </xf>
    <xf numFmtId="0" fontId="2" fillId="5" borderId="0" xfId="3" applyFont="1" applyFill="1" applyAlignment="1">
      <alignment horizontal="left" vertical="center" wrapText="1" indent="2"/>
    </xf>
    <xf numFmtId="41" fontId="20" fillId="4" borderId="0" xfId="3" applyNumberFormat="1" applyFont="1" applyFill="1" applyBorder="1" applyAlignment="1" applyProtection="1">
      <alignment horizontal="center" wrapText="1"/>
    </xf>
    <xf numFmtId="41" fontId="20" fillId="4" borderId="7" xfId="3" applyNumberFormat="1" applyFont="1"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318" t="s">
        <v>73</v>
      </c>
      <c r="B1" s="318"/>
      <c r="C1" s="318"/>
    </row>
    <row r="2" spans="1:3" ht="18" x14ac:dyDescent="0.25">
      <c r="A2" s="318" t="s">
        <v>74</v>
      </c>
      <c r="B2" s="318"/>
      <c r="C2" s="318"/>
    </row>
    <row r="3" spans="1:3" s="63" customFormat="1" ht="13.5" thickBot="1" x14ac:dyDescent="0.25">
      <c r="A3" s="1"/>
      <c r="B3" s="1"/>
      <c r="C3" s="1"/>
    </row>
    <row r="4" spans="1:3" s="116" customFormat="1" ht="15.75" thickBot="1" x14ac:dyDescent="0.25">
      <c r="A4" s="121" t="s">
        <v>75</v>
      </c>
      <c r="B4" s="120" t="s">
        <v>76</v>
      </c>
      <c r="C4" s="120" t="s">
        <v>77</v>
      </c>
    </row>
    <row r="5" spans="1:3" s="116" customFormat="1" ht="29.25" thickBot="1" x14ac:dyDescent="0.25">
      <c r="A5" s="119" t="s">
        <v>78</v>
      </c>
      <c r="B5" s="118" t="s">
        <v>79</v>
      </c>
      <c r="C5" s="117">
        <v>44228</v>
      </c>
    </row>
    <row r="6" spans="1:3" s="116" customFormat="1" ht="29.25" thickBot="1" x14ac:dyDescent="0.25">
      <c r="A6" s="119" t="s">
        <v>80</v>
      </c>
      <c r="B6" s="118" t="s">
        <v>81</v>
      </c>
      <c r="C6" s="117">
        <v>44410</v>
      </c>
    </row>
    <row r="7" spans="1:3" s="116" customFormat="1" x14ac:dyDescent="0.2">
      <c r="A7" s="1"/>
      <c r="B7" s="1"/>
      <c r="C7" s="1"/>
    </row>
    <row r="8" spans="1:3" s="116" customFormat="1" ht="17.25" customHeight="1" x14ac:dyDescent="0.2">
      <c r="A8" s="317" t="s">
        <v>82</v>
      </c>
      <c r="B8" s="317"/>
      <c r="C8" s="317"/>
    </row>
    <row r="9" spans="1:3" s="116" customFormat="1" ht="74.25" customHeight="1" x14ac:dyDescent="0.2">
      <c r="A9" s="316" t="s">
        <v>83</v>
      </c>
      <c r="B9" s="316"/>
      <c r="C9" s="316"/>
    </row>
    <row r="10" spans="1:3" s="116" customFormat="1" ht="45.75" customHeight="1" x14ac:dyDescent="0.2">
      <c r="A10" s="316" t="s">
        <v>84</v>
      </c>
      <c r="B10" s="316"/>
      <c r="C10" s="316"/>
    </row>
    <row r="11" spans="1:3" s="116" customFormat="1" ht="57" customHeight="1" x14ac:dyDescent="0.2">
      <c r="A11" s="316" t="s">
        <v>85</v>
      </c>
      <c r="B11" s="316"/>
      <c r="C11" s="316"/>
    </row>
    <row r="12" spans="1:3" s="116" customFormat="1" ht="11.25" customHeight="1" x14ac:dyDescent="0.2">
      <c r="A12" s="316"/>
      <c r="B12" s="316"/>
      <c r="C12" s="316"/>
    </row>
    <row r="13" spans="1:3" s="116" customFormat="1" ht="15" customHeight="1" x14ac:dyDescent="0.2">
      <c r="A13" s="317" t="s">
        <v>86</v>
      </c>
      <c r="B13" s="317"/>
      <c r="C13" s="317"/>
    </row>
    <row r="14" spans="1:3" s="116" customFormat="1" ht="65.25" customHeight="1" x14ac:dyDescent="0.2">
      <c r="A14" s="316" t="s">
        <v>87</v>
      </c>
      <c r="B14" s="316"/>
      <c r="C14" s="316"/>
    </row>
    <row r="15" spans="1:3" s="58" customFormat="1" ht="50.25" customHeight="1" x14ac:dyDescent="0.2">
      <c r="A15" s="316" t="s">
        <v>88</v>
      </c>
      <c r="B15" s="316"/>
      <c r="C15" s="316"/>
    </row>
    <row r="16" spans="1:3" s="116" customFormat="1" x14ac:dyDescent="0.2">
      <c r="A16" s="316"/>
      <c r="B16" s="316"/>
      <c r="C16" s="316"/>
    </row>
    <row r="17" spans="1:3" s="116" customFormat="1" ht="16.5" customHeight="1" x14ac:dyDescent="0.2">
      <c r="A17" s="320" t="s">
        <v>89</v>
      </c>
      <c r="B17" s="320"/>
      <c r="C17" s="320"/>
    </row>
    <row r="18" spans="1:3" s="116" customFormat="1" ht="30.75" customHeight="1" x14ac:dyDescent="0.2">
      <c r="A18" s="319" t="s">
        <v>90</v>
      </c>
      <c r="B18" s="319"/>
      <c r="C18" s="319"/>
    </row>
    <row r="19" spans="1:3" s="116" customFormat="1" ht="30" customHeight="1" x14ac:dyDescent="0.2">
      <c r="A19" s="319" t="s">
        <v>91</v>
      </c>
      <c r="B19" s="319"/>
      <c r="C19" s="319"/>
    </row>
    <row r="20" spans="1:3" s="58" customFormat="1" ht="24.75" customHeight="1" x14ac:dyDescent="0.2">
      <c r="A20" s="319" t="s">
        <v>92</v>
      </c>
      <c r="B20" s="319"/>
      <c r="C20" s="319"/>
    </row>
    <row r="21" spans="1:3" s="116" customFormat="1" ht="30" customHeight="1" x14ac:dyDescent="0.2">
      <c r="A21" s="319" t="s">
        <v>93</v>
      </c>
      <c r="B21" s="319"/>
      <c r="C21" s="319"/>
    </row>
    <row r="22" spans="1:3" s="116" customFormat="1" x14ac:dyDescent="0.2">
      <c r="A22" s="316"/>
      <c r="B22" s="316"/>
      <c r="C22" s="316"/>
    </row>
    <row r="23" spans="1:3" s="116" customFormat="1" ht="12.75" customHeight="1" x14ac:dyDescent="0.2">
      <c r="A23" s="320" t="s">
        <v>94</v>
      </c>
      <c r="B23" s="320"/>
      <c r="C23" s="320"/>
    </row>
    <row r="24" spans="1:3" s="58" customFormat="1" ht="156.75" customHeight="1" x14ac:dyDescent="0.2">
      <c r="A24" s="319" t="s">
        <v>95</v>
      </c>
      <c r="B24" s="319"/>
      <c r="C24" s="319"/>
    </row>
    <row r="25" spans="1:3" s="116" customFormat="1" ht="160.5" customHeight="1" x14ac:dyDescent="0.2">
      <c r="A25" s="319" t="s">
        <v>96</v>
      </c>
      <c r="B25" s="319"/>
      <c r="C25" s="319"/>
    </row>
    <row r="26" spans="1:3" s="116" customFormat="1" x14ac:dyDescent="0.2">
      <c r="A26" s="316"/>
      <c r="B26" s="316"/>
      <c r="C26" s="316"/>
    </row>
    <row r="27" spans="1:3" s="116" customFormat="1" x14ac:dyDescent="0.2">
      <c r="A27" s="320" t="s">
        <v>97</v>
      </c>
      <c r="B27" s="320"/>
      <c r="C27" s="320"/>
    </row>
    <row r="28" spans="1:3" s="116" customFormat="1" ht="54" customHeight="1" x14ac:dyDescent="0.2">
      <c r="A28" s="319" t="s">
        <v>98</v>
      </c>
      <c r="B28" s="319"/>
      <c r="C28" s="319"/>
    </row>
    <row r="29" spans="1:3" ht="55.5" customHeight="1" x14ac:dyDescent="0.2">
      <c r="A29" s="319" t="s">
        <v>99</v>
      </c>
      <c r="B29" s="319"/>
      <c r="C29" s="319"/>
    </row>
    <row r="30" spans="1:3" s="116" customFormat="1" x14ac:dyDescent="0.2">
      <c r="A30" s="316"/>
      <c r="B30" s="316"/>
      <c r="C30" s="316"/>
    </row>
    <row r="31" spans="1:3" s="116" customFormat="1" x14ac:dyDescent="0.2">
      <c r="A31" s="317" t="s">
        <v>100</v>
      </c>
      <c r="B31" s="317"/>
      <c r="C31" s="317"/>
    </row>
    <row r="32" spans="1:3" s="116" customFormat="1" ht="43.5" customHeight="1" x14ac:dyDescent="0.2">
      <c r="A32" s="316" t="s">
        <v>101</v>
      </c>
      <c r="B32" s="316"/>
      <c r="C32" s="316"/>
    </row>
    <row r="33" spans="1:3" s="116" customFormat="1" x14ac:dyDescent="0.2">
      <c r="A33" s="1"/>
      <c r="B33" s="1"/>
      <c r="C33" s="1"/>
    </row>
    <row r="34" spans="1:3" s="116" customFormat="1" x14ac:dyDescent="0.2">
      <c r="A34" s="317" t="s">
        <v>102</v>
      </c>
      <c r="B34" s="317"/>
      <c r="C34" s="317"/>
    </row>
    <row r="35" spans="1:3" s="116" customFormat="1" ht="54" customHeight="1" x14ac:dyDescent="0.2">
      <c r="A35" s="316" t="s">
        <v>103</v>
      </c>
      <c r="B35" s="316"/>
      <c r="C35" s="316"/>
    </row>
    <row r="36" spans="1:3" x14ac:dyDescent="0.2">
      <c r="A36" s="316"/>
      <c r="B36" s="316"/>
      <c r="C36" s="316"/>
    </row>
  </sheetData>
  <sheetProtection algorithmName="SHA-512" hashValue="x1aclZQtOsYmOn4q6OF1GtuyqvQBYDou+RnoiLsUmiDvchf0tT9ihI8MKnJp3+/oUFMszQyx8NnpsVfYHcQrdQ==" saltValue="CI/aQSq9xTadbtbb1olEqg=="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145"/>
  <sheetViews>
    <sheetView showGridLines="0" topLeftCell="F2" zoomScale="80" zoomScaleNormal="80" workbookViewId="0">
      <selection activeCell="S2" sqref="S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10.85546875" style="29" customWidth="1"/>
    <col min="11" max="11" width="10" style="29" customWidth="1"/>
    <col min="12" max="14" width="14.85546875" style="29" customWidth="1"/>
    <col min="15" max="17" width="14.42578125" style="29" customWidth="1"/>
    <col min="18" max="18" width="13.85546875" style="28" customWidth="1"/>
    <col min="19" max="19" width="16.7109375" style="27" customWidth="1"/>
    <col min="20" max="16384" width="8.85546875" style="43"/>
  </cols>
  <sheetData>
    <row r="1" spans="1:19" ht="168.75" hidden="1" outlineLevel="1" x14ac:dyDescent="0.2">
      <c r="A1" s="52" t="s">
        <v>0</v>
      </c>
      <c r="B1" s="52" t="s">
        <v>1</v>
      </c>
      <c r="C1" s="52" t="s">
        <v>2</v>
      </c>
      <c r="D1" s="52" t="s">
        <v>3</v>
      </c>
      <c r="E1" s="96" t="s">
        <v>4</v>
      </c>
      <c r="F1" s="56" t="s">
        <v>5</v>
      </c>
      <c r="G1" s="56" t="s">
        <v>6</v>
      </c>
      <c r="H1" s="55" t="s">
        <v>7</v>
      </c>
      <c r="I1" s="55" t="s">
        <v>8</v>
      </c>
      <c r="J1" s="55" t="s">
        <v>9</v>
      </c>
      <c r="K1" s="55" t="s">
        <v>10</v>
      </c>
      <c r="L1" s="55" t="s">
        <v>11</v>
      </c>
      <c r="M1" s="55" t="s">
        <v>12</v>
      </c>
      <c r="N1" s="55" t="s">
        <v>13</v>
      </c>
      <c r="O1" s="55" t="s">
        <v>14</v>
      </c>
      <c r="P1" s="55" t="s">
        <v>15</v>
      </c>
      <c r="Q1" s="55" t="s">
        <v>16</v>
      </c>
      <c r="R1" s="54" t="s">
        <v>17</v>
      </c>
      <c r="S1" s="53" t="s">
        <v>18</v>
      </c>
    </row>
    <row r="2" spans="1:19" ht="18" collapsed="1" x14ac:dyDescent="0.25">
      <c r="A2" s="52"/>
      <c r="B2" s="52"/>
      <c r="C2" s="52"/>
      <c r="D2" s="52"/>
      <c r="E2" s="96"/>
      <c r="F2" s="90" t="s">
        <v>20</v>
      </c>
      <c r="G2" s="56"/>
      <c r="H2" s="55"/>
      <c r="I2" s="55"/>
      <c r="J2" s="55"/>
      <c r="K2" s="55"/>
      <c r="L2" s="55"/>
      <c r="M2" s="55"/>
      <c r="N2" s="55"/>
      <c r="O2" s="55"/>
      <c r="P2" s="55"/>
      <c r="Q2" s="55"/>
      <c r="R2" s="54"/>
      <c r="S2" s="53"/>
    </row>
    <row r="3" spans="1:19" ht="18" x14ac:dyDescent="0.2">
      <c r="A3" s="52"/>
      <c r="B3" s="52"/>
      <c r="C3" s="52"/>
      <c r="D3" s="52"/>
      <c r="E3" s="96"/>
      <c r="F3" s="274" t="s">
        <v>104</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19</v>
      </c>
      <c r="G5" s="25"/>
      <c r="H5" s="25"/>
      <c r="I5" s="25"/>
      <c r="J5" s="25"/>
      <c r="K5" s="25"/>
      <c r="L5" s="25"/>
      <c r="M5" s="25"/>
      <c r="N5" s="25"/>
      <c r="O5" s="25"/>
      <c r="P5" s="25"/>
      <c r="Q5" s="25"/>
      <c r="R5" s="205"/>
      <c r="S5" s="24"/>
    </row>
    <row r="6" spans="1:19" ht="33.75" x14ac:dyDescent="0.2">
      <c r="A6" s="59" t="str">
        <f t="shared" ref="A6:A17" si="0">$G$7</f>
        <v>WISE &amp; Healthy Aging</v>
      </c>
      <c r="B6" s="59" t="str">
        <f t="shared" ref="B6:B17" si="1">$G$8</f>
        <v>WISE Diner</v>
      </c>
      <c r="F6" s="198"/>
      <c r="G6" s="98"/>
      <c r="H6" s="43"/>
      <c r="I6" s="43"/>
      <c r="J6" s="43"/>
      <c r="K6" s="43"/>
      <c r="L6" s="51" t="s">
        <v>21</v>
      </c>
      <c r="M6" s="51" t="s">
        <v>22</v>
      </c>
      <c r="N6" s="51" t="s">
        <v>23</v>
      </c>
      <c r="O6" s="51" t="s">
        <v>24</v>
      </c>
      <c r="P6" s="51" t="s">
        <v>25</v>
      </c>
      <c r="Q6" s="51" t="s">
        <v>26</v>
      </c>
      <c r="R6" s="64" t="s">
        <v>27</v>
      </c>
      <c r="S6" s="65" t="s">
        <v>28</v>
      </c>
    </row>
    <row r="7" spans="1:19" x14ac:dyDescent="0.2">
      <c r="A7" s="59" t="str">
        <f t="shared" si="0"/>
        <v>WISE &amp; Healthy Aging</v>
      </c>
      <c r="B7" s="59" t="str">
        <f t="shared" si="1"/>
        <v>WISE Diner</v>
      </c>
      <c r="D7" s="59" t="s">
        <v>19</v>
      </c>
      <c r="E7" s="43" t="s">
        <v>29</v>
      </c>
      <c r="F7" s="275" t="s">
        <v>105</v>
      </c>
      <c r="G7" s="219" t="s">
        <v>106</v>
      </c>
      <c r="H7" s="43"/>
      <c r="I7" s="43" t="s">
        <v>29</v>
      </c>
      <c r="J7" s="43"/>
      <c r="K7" s="43"/>
      <c r="L7" s="49">
        <f t="shared" ref="L7:M7" si="2">L37</f>
        <v>46040</v>
      </c>
      <c r="M7" s="49">
        <f t="shared" si="2"/>
        <v>46040</v>
      </c>
      <c r="N7" s="49">
        <f>L7-M7</f>
        <v>0</v>
      </c>
      <c r="O7" s="49">
        <f t="shared" ref="O7:P7" si="3">O37</f>
        <v>23489.040000000001</v>
      </c>
      <c r="P7" s="49">
        <f t="shared" si="3"/>
        <v>45101.919999999998</v>
      </c>
      <c r="Q7" s="49">
        <f>Q37</f>
        <v>46040</v>
      </c>
      <c r="R7" s="48">
        <f t="shared" ref="R7:R18" si="4">IFERROR(Q7/M7,"N/A")</f>
        <v>1</v>
      </c>
      <c r="S7" s="192">
        <f>S37</f>
        <v>46040</v>
      </c>
    </row>
    <row r="8" spans="1:19" x14ac:dyDescent="0.2">
      <c r="A8" s="59" t="str">
        <f t="shared" si="0"/>
        <v>WISE &amp; Healthy Aging</v>
      </c>
      <c r="B8" s="59" t="str">
        <f t="shared" si="1"/>
        <v>WISE Diner</v>
      </c>
      <c r="D8" s="59" t="s">
        <v>19</v>
      </c>
      <c r="E8" s="43" t="s">
        <v>30</v>
      </c>
      <c r="F8" s="275" t="s">
        <v>107</v>
      </c>
      <c r="G8" s="220" t="s">
        <v>108</v>
      </c>
      <c r="H8" s="43"/>
      <c r="I8" s="43" t="s">
        <v>30</v>
      </c>
      <c r="J8" s="43"/>
      <c r="K8" s="43"/>
      <c r="L8" s="49">
        <f t="shared" ref="L8:M8" si="5">L48</f>
        <v>12348</v>
      </c>
      <c r="M8" s="49">
        <f t="shared" si="5"/>
        <v>12348</v>
      </c>
      <c r="N8" s="49">
        <f t="shared" ref="N8:N17" si="6">L8-M8</f>
        <v>0</v>
      </c>
      <c r="O8" s="49">
        <f>O48</f>
        <v>5504.3</v>
      </c>
      <c r="P8" s="49">
        <f>P48</f>
        <v>7548</v>
      </c>
      <c r="Q8" s="49">
        <f>Q48</f>
        <v>13052.300000000001</v>
      </c>
      <c r="R8" s="48">
        <f t="shared" si="4"/>
        <v>1.0570375769355362</v>
      </c>
      <c r="S8" s="192">
        <f>S48</f>
        <v>13052.300000000001</v>
      </c>
    </row>
    <row r="9" spans="1:19" x14ac:dyDescent="0.2">
      <c r="A9" s="59" t="str">
        <f t="shared" si="0"/>
        <v>WISE &amp; Healthy Aging</v>
      </c>
      <c r="B9" s="59" t="str">
        <f t="shared" si="1"/>
        <v>WISE Diner</v>
      </c>
      <c r="D9" s="59" t="s">
        <v>19</v>
      </c>
      <c r="E9" s="43" t="s">
        <v>31</v>
      </c>
      <c r="F9" s="191"/>
      <c r="G9" s="43"/>
      <c r="H9" s="43"/>
      <c r="I9" s="43" t="s">
        <v>31</v>
      </c>
      <c r="J9" s="43"/>
      <c r="K9" s="43"/>
      <c r="L9" s="49">
        <f t="shared" ref="L9:M9" si="7">L58</f>
        <v>131637</v>
      </c>
      <c r="M9" s="49">
        <f t="shared" si="7"/>
        <v>121637</v>
      </c>
      <c r="N9" s="49">
        <f t="shared" si="6"/>
        <v>10000</v>
      </c>
      <c r="O9" s="49">
        <f>O58</f>
        <v>54309.22</v>
      </c>
      <c r="P9" s="49">
        <f>P58</f>
        <v>67979</v>
      </c>
      <c r="Q9" s="49">
        <f>Q58</f>
        <v>122288.22</v>
      </c>
      <c r="R9" s="48">
        <f t="shared" si="4"/>
        <v>1.0053537985974663</v>
      </c>
      <c r="S9" s="192">
        <f>S58</f>
        <v>122288.22</v>
      </c>
    </row>
    <row r="10" spans="1:19" x14ac:dyDescent="0.2">
      <c r="A10" s="59" t="str">
        <f t="shared" si="0"/>
        <v>WISE &amp; Healthy Aging</v>
      </c>
      <c r="B10" s="59" t="str">
        <f t="shared" si="1"/>
        <v>WISE Diner</v>
      </c>
      <c r="D10" s="59" t="s">
        <v>19</v>
      </c>
      <c r="E10" s="43" t="s">
        <v>32</v>
      </c>
      <c r="F10" s="191"/>
      <c r="G10" s="43"/>
      <c r="H10" s="43"/>
      <c r="I10" s="43" t="s">
        <v>32</v>
      </c>
      <c r="J10" s="43"/>
      <c r="K10" s="43"/>
      <c r="L10" s="49">
        <f t="shared" ref="L10:M10" si="8">L67</f>
        <v>0</v>
      </c>
      <c r="M10" s="49">
        <f t="shared" si="8"/>
        <v>0</v>
      </c>
      <c r="N10" s="49">
        <f t="shared" si="6"/>
        <v>0</v>
      </c>
      <c r="O10" s="49">
        <f>O67</f>
        <v>0</v>
      </c>
      <c r="P10" s="49">
        <f>P67</f>
        <v>0</v>
      </c>
      <c r="Q10" s="49">
        <f>Q67</f>
        <v>0</v>
      </c>
      <c r="R10" s="48" t="str">
        <f t="shared" si="4"/>
        <v>N/A</v>
      </c>
      <c r="S10" s="192">
        <f>S67</f>
        <v>0</v>
      </c>
    </row>
    <row r="11" spans="1:19" x14ac:dyDescent="0.2">
      <c r="A11" s="59" t="str">
        <f t="shared" si="0"/>
        <v>WISE &amp; Healthy Aging</v>
      </c>
      <c r="B11" s="59" t="str">
        <f t="shared" si="1"/>
        <v>WISE Diner</v>
      </c>
      <c r="D11" s="59" t="s">
        <v>19</v>
      </c>
      <c r="E11" s="43" t="s">
        <v>33</v>
      </c>
      <c r="F11" s="37" t="s">
        <v>109</v>
      </c>
      <c r="G11" s="276" t="s">
        <v>115</v>
      </c>
      <c r="H11" s="43"/>
      <c r="I11" s="43" t="s">
        <v>33</v>
      </c>
      <c r="J11" s="43"/>
      <c r="K11" s="43"/>
      <c r="L11" s="49">
        <f t="shared" ref="L11:M11" si="9">L75</f>
        <v>10000</v>
      </c>
      <c r="M11" s="49">
        <f t="shared" si="9"/>
        <v>10000</v>
      </c>
      <c r="N11" s="49">
        <f t="shared" si="6"/>
        <v>0</v>
      </c>
      <c r="O11" s="49">
        <f>O75</f>
        <v>0</v>
      </c>
      <c r="P11" s="49">
        <f>P75</f>
        <v>9997.5299999999988</v>
      </c>
      <c r="Q11" s="49">
        <f>Q75</f>
        <v>9997.5299999999988</v>
      </c>
      <c r="R11" s="48">
        <f t="shared" si="4"/>
        <v>0.99975299999999989</v>
      </c>
      <c r="S11" s="192">
        <f>S75</f>
        <v>9997.5299999999988</v>
      </c>
    </row>
    <row r="12" spans="1:19" x14ac:dyDescent="0.2">
      <c r="A12" s="59" t="str">
        <f t="shared" si="0"/>
        <v>WISE &amp; Healthy Aging</v>
      </c>
      <c r="B12" s="59" t="str">
        <f t="shared" si="1"/>
        <v>WISE Diner</v>
      </c>
      <c r="D12" s="59" t="s">
        <v>19</v>
      </c>
      <c r="E12" s="43" t="s">
        <v>34</v>
      </c>
      <c r="F12" s="191"/>
      <c r="G12" s="43"/>
      <c r="H12" s="43"/>
      <c r="I12" s="43" t="s">
        <v>34</v>
      </c>
      <c r="J12" s="43"/>
      <c r="K12" s="43"/>
      <c r="L12" s="49">
        <f t="shared" ref="L12:M12" si="10">L83</f>
        <v>258</v>
      </c>
      <c r="M12" s="49">
        <f t="shared" si="10"/>
        <v>258</v>
      </c>
      <c r="N12" s="49">
        <f t="shared" si="6"/>
        <v>0</v>
      </c>
      <c r="O12" s="49">
        <f>O83</f>
        <v>243.68</v>
      </c>
      <c r="P12" s="49">
        <f>P83</f>
        <v>14</v>
      </c>
      <c r="Q12" s="49">
        <f>Q83</f>
        <v>257.68</v>
      </c>
      <c r="R12" s="48">
        <f t="shared" si="4"/>
        <v>0.99875968992248065</v>
      </c>
      <c r="S12" s="192">
        <f>S83</f>
        <v>257.68</v>
      </c>
    </row>
    <row r="13" spans="1:19" x14ac:dyDescent="0.2">
      <c r="A13" s="59" t="str">
        <f t="shared" si="0"/>
        <v>WISE &amp; Healthy Aging</v>
      </c>
      <c r="B13" s="59" t="str">
        <f t="shared" si="1"/>
        <v>WISE Diner</v>
      </c>
      <c r="D13" s="59" t="s">
        <v>19</v>
      </c>
      <c r="E13" s="43" t="s">
        <v>35</v>
      </c>
      <c r="F13" s="191"/>
      <c r="G13" s="43"/>
      <c r="H13" s="43"/>
      <c r="I13" s="43" t="s">
        <v>35</v>
      </c>
      <c r="J13" s="43"/>
      <c r="K13" s="43"/>
      <c r="L13" s="49">
        <f t="shared" ref="L13:M13" si="11">L90</f>
        <v>750</v>
      </c>
      <c r="M13" s="49">
        <f t="shared" si="11"/>
        <v>750</v>
      </c>
      <c r="N13" s="49">
        <f t="shared" si="6"/>
        <v>0</v>
      </c>
      <c r="O13" s="49">
        <f>O90</f>
        <v>636.29999999999995</v>
      </c>
      <c r="P13" s="49">
        <f>P90</f>
        <v>114</v>
      </c>
      <c r="Q13" s="49">
        <f>Q90</f>
        <v>750.3</v>
      </c>
      <c r="R13" s="48">
        <f t="shared" si="4"/>
        <v>1.0004</v>
      </c>
      <c r="S13" s="192">
        <f>S90</f>
        <v>750.3</v>
      </c>
    </row>
    <row r="14" spans="1:19" x14ac:dyDescent="0.2">
      <c r="A14" s="59" t="str">
        <f t="shared" si="0"/>
        <v>WISE &amp; Healthy Aging</v>
      </c>
      <c r="B14" s="59" t="str">
        <f t="shared" si="1"/>
        <v>WISE Diner</v>
      </c>
      <c r="D14" s="59" t="s">
        <v>19</v>
      </c>
      <c r="E14" s="43" t="s">
        <v>36</v>
      </c>
      <c r="F14" s="191" t="s">
        <v>111</v>
      </c>
      <c r="G14" s="277">
        <v>221564</v>
      </c>
      <c r="H14" s="43"/>
      <c r="I14" s="43" t="s">
        <v>36</v>
      </c>
      <c r="J14" s="43"/>
      <c r="K14" s="43"/>
      <c r="L14" s="49">
        <f t="shared" ref="L14:M14" si="12">L107</f>
        <v>15143</v>
      </c>
      <c r="M14" s="49">
        <f t="shared" si="12"/>
        <v>15143</v>
      </c>
      <c r="N14" s="49">
        <f t="shared" si="6"/>
        <v>0</v>
      </c>
      <c r="O14" s="49">
        <f>O107</f>
        <v>2245.5</v>
      </c>
      <c r="P14" s="49">
        <f>P107</f>
        <v>11544.47</v>
      </c>
      <c r="Q14" s="49">
        <f>Q107</f>
        <v>13789.97</v>
      </c>
      <c r="R14" s="48">
        <f t="shared" si="4"/>
        <v>0.91064980519051708</v>
      </c>
      <c r="S14" s="192">
        <f>S107</f>
        <v>13789.97</v>
      </c>
    </row>
    <row r="15" spans="1:19" x14ac:dyDescent="0.2">
      <c r="A15" s="59" t="str">
        <f t="shared" si="0"/>
        <v>WISE &amp; Healthy Aging</v>
      </c>
      <c r="B15" s="59" t="str">
        <f t="shared" si="1"/>
        <v>WISE Diner</v>
      </c>
      <c r="D15" s="59" t="s">
        <v>19</v>
      </c>
      <c r="E15" s="43" t="s">
        <v>37</v>
      </c>
      <c r="F15" s="191" t="s">
        <v>112</v>
      </c>
      <c r="G15" s="278">
        <f>Q18</f>
        <v>221564</v>
      </c>
      <c r="H15" s="43"/>
      <c r="I15" s="43" t="s">
        <v>37</v>
      </c>
      <c r="J15" s="43"/>
      <c r="K15" s="43"/>
      <c r="L15" s="49">
        <f t="shared" ref="L15:M15" si="13">L114</f>
        <v>0</v>
      </c>
      <c r="M15" s="49">
        <f t="shared" si="13"/>
        <v>0</v>
      </c>
      <c r="N15" s="49">
        <f t="shared" si="6"/>
        <v>0</v>
      </c>
      <c r="O15" s="49">
        <f>O114</f>
        <v>0</v>
      </c>
      <c r="P15" s="49">
        <f>P114</f>
        <v>0</v>
      </c>
      <c r="Q15" s="49">
        <f>Q114</f>
        <v>0</v>
      </c>
      <c r="R15" s="48" t="str">
        <f t="shared" si="4"/>
        <v>N/A</v>
      </c>
      <c r="S15" s="192">
        <f>S114</f>
        <v>0</v>
      </c>
    </row>
    <row r="16" spans="1:19" x14ac:dyDescent="0.2">
      <c r="A16" s="59" t="str">
        <f t="shared" si="0"/>
        <v>WISE &amp; Healthy Aging</v>
      </c>
      <c r="B16" s="59" t="str">
        <f t="shared" si="1"/>
        <v>WISE Diner</v>
      </c>
      <c r="D16" s="59" t="s">
        <v>19</v>
      </c>
      <c r="E16" s="43" t="s">
        <v>38</v>
      </c>
      <c r="F16" s="191" t="s">
        <v>113</v>
      </c>
      <c r="G16" s="278">
        <f>G14-G15</f>
        <v>0</v>
      </c>
      <c r="H16" s="43"/>
      <c r="I16" s="43" t="s">
        <v>38</v>
      </c>
      <c r="J16" s="43"/>
      <c r="K16" s="43"/>
      <c r="L16" s="49">
        <f t="shared" ref="L16:M16" si="14">L121</f>
        <v>0</v>
      </c>
      <c r="M16" s="49">
        <f t="shared" si="14"/>
        <v>0</v>
      </c>
      <c r="N16" s="49">
        <f t="shared" si="6"/>
        <v>0</v>
      </c>
      <c r="O16" s="49">
        <f>O121</f>
        <v>0</v>
      </c>
      <c r="P16" s="49">
        <f>P121</f>
        <v>0</v>
      </c>
      <c r="Q16" s="49">
        <f>Q121</f>
        <v>0</v>
      </c>
      <c r="R16" s="48" t="str">
        <f t="shared" si="4"/>
        <v>N/A</v>
      </c>
      <c r="S16" s="192">
        <f>S121</f>
        <v>0</v>
      </c>
    </row>
    <row r="17" spans="1:20" x14ac:dyDescent="0.2">
      <c r="A17" s="59" t="str">
        <f t="shared" si="0"/>
        <v>WISE &amp; Healthy Aging</v>
      </c>
      <c r="B17" s="59" t="str">
        <f t="shared" si="1"/>
        <v>WISE Diner</v>
      </c>
      <c r="D17" s="59" t="s">
        <v>19</v>
      </c>
      <c r="E17" s="43" t="s">
        <v>39</v>
      </c>
      <c r="F17" s="191"/>
      <c r="G17" s="43"/>
      <c r="H17" s="43"/>
      <c r="I17" s="43" t="s">
        <v>39</v>
      </c>
      <c r="J17" s="43"/>
      <c r="K17" s="43"/>
      <c r="L17" s="49">
        <f t="shared" ref="L17:M17" si="15">L130</f>
        <v>15388</v>
      </c>
      <c r="M17" s="49">
        <f t="shared" si="15"/>
        <v>15388</v>
      </c>
      <c r="N17" s="49">
        <f t="shared" si="6"/>
        <v>0</v>
      </c>
      <c r="O17" s="49">
        <f>O130</f>
        <v>7692</v>
      </c>
      <c r="P17" s="49">
        <f>P130</f>
        <v>7696</v>
      </c>
      <c r="Q17" s="49">
        <f>Q130</f>
        <v>15388</v>
      </c>
      <c r="R17" s="48">
        <f t="shared" si="4"/>
        <v>1</v>
      </c>
      <c r="S17" s="192">
        <f>S130</f>
        <v>15388</v>
      </c>
    </row>
    <row r="18" spans="1:20" ht="13.5" thickBot="1" x14ac:dyDescent="0.25">
      <c r="E18" s="43"/>
      <c r="F18" s="193"/>
      <c r="G18" s="194"/>
      <c r="H18" s="66"/>
      <c r="I18" s="194" t="s">
        <v>40</v>
      </c>
      <c r="J18" s="194"/>
      <c r="K18" s="194"/>
      <c r="L18" s="195">
        <f t="shared" ref="L18:Q18" si="16">SUM(L7:L17)</f>
        <v>231564</v>
      </c>
      <c r="M18" s="195">
        <f t="shared" si="16"/>
        <v>221564</v>
      </c>
      <c r="N18" s="195">
        <f t="shared" si="16"/>
        <v>10000</v>
      </c>
      <c r="O18" s="195">
        <f t="shared" si="16"/>
        <v>94120.04</v>
      </c>
      <c r="P18" s="195">
        <f t="shared" si="16"/>
        <v>149994.91999999998</v>
      </c>
      <c r="Q18" s="195">
        <f t="shared" si="16"/>
        <v>221564</v>
      </c>
      <c r="R18" s="196">
        <f t="shared" si="4"/>
        <v>1</v>
      </c>
      <c r="S18" s="197">
        <f>SUM(S7:S17)</f>
        <v>221564</v>
      </c>
    </row>
    <row r="19" spans="1:20" ht="13.5" thickBot="1" x14ac:dyDescent="0.25">
      <c r="E19" s="43"/>
      <c r="F19" s="36"/>
      <c r="G19" s="43"/>
      <c r="H19" s="43"/>
      <c r="I19" s="36"/>
      <c r="J19" s="36"/>
      <c r="K19" s="36"/>
      <c r="L19" s="124"/>
      <c r="M19" s="124"/>
      <c r="N19" s="124"/>
      <c r="O19" s="124"/>
      <c r="P19" s="124"/>
      <c r="Q19" s="124"/>
      <c r="R19" s="105"/>
      <c r="S19" s="124"/>
    </row>
    <row r="20" spans="1:20" ht="13.5" hidden="1" thickBot="1" x14ac:dyDescent="0.25">
      <c r="E20" s="43"/>
      <c r="F20" s="43" t="s">
        <v>110</v>
      </c>
      <c r="G20" s="43"/>
      <c r="H20" s="43"/>
      <c r="I20" s="36"/>
      <c r="J20" s="36"/>
      <c r="K20" s="36"/>
      <c r="L20" s="124"/>
      <c r="M20" s="124"/>
      <c r="N20" s="124"/>
      <c r="O20" s="124"/>
      <c r="P20" s="124"/>
      <c r="Q20" s="124"/>
      <c r="R20" s="105"/>
      <c r="S20" s="124"/>
    </row>
    <row r="21" spans="1:20" ht="13.5" hidden="1" thickBot="1" x14ac:dyDescent="0.25">
      <c r="E21" s="43"/>
      <c r="F21" s="191" t="s">
        <v>114</v>
      </c>
      <c r="G21" s="43"/>
      <c r="H21" s="43"/>
      <c r="I21" s="36"/>
      <c r="J21" s="36"/>
      <c r="K21" s="36"/>
      <c r="L21" s="124"/>
      <c r="M21" s="124"/>
      <c r="N21" s="124"/>
      <c r="O21" s="124"/>
      <c r="P21" s="124"/>
      <c r="Q21" s="124"/>
      <c r="R21" s="105"/>
      <c r="S21" s="124"/>
    </row>
    <row r="22" spans="1:20" ht="13.5" hidden="1" thickBot="1" x14ac:dyDescent="0.25">
      <c r="F22" s="191" t="s">
        <v>115</v>
      </c>
      <c r="G22" s="43"/>
      <c r="H22" s="43"/>
      <c r="I22" s="43"/>
      <c r="J22" s="43"/>
      <c r="K22" s="43"/>
    </row>
    <row r="23" spans="1:20" ht="13.5" thickBot="1" x14ac:dyDescent="0.25">
      <c r="E23" s="43"/>
      <c r="F23" s="26" t="s">
        <v>41</v>
      </c>
      <c r="G23" s="25"/>
      <c r="H23" s="25"/>
      <c r="I23" s="25"/>
      <c r="J23" s="25"/>
      <c r="K23" s="25"/>
      <c r="L23" s="25"/>
      <c r="M23" s="25"/>
      <c r="N23" s="25"/>
      <c r="O23" s="25"/>
      <c r="P23" s="25"/>
      <c r="Q23" s="25"/>
      <c r="R23" s="205"/>
      <c r="S23" s="24"/>
    </row>
    <row r="24" spans="1:20" ht="13.5" thickBot="1" x14ac:dyDescent="0.25">
      <c r="F24" s="43"/>
      <c r="G24" s="43"/>
      <c r="H24" s="43"/>
      <c r="I24" s="43"/>
      <c r="J24" s="43"/>
      <c r="K24" s="43"/>
    </row>
    <row r="25" spans="1:20" x14ac:dyDescent="0.2">
      <c r="F25" s="180" t="s">
        <v>42</v>
      </c>
      <c r="G25" s="181"/>
      <c r="H25" s="181"/>
      <c r="I25" s="181"/>
      <c r="J25" s="181"/>
      <c r="K25" s="182"/>
      <c r="L25" s="183"/>
      <c r="M25" s="183"/>
      <c r="N25" s="183"/>
      <c r="O25" s="183"/>
      <c r="P25" s="183"/>
      <c r="Q25" s="183"/>
      <c r="R25" s="184"/>
      <c r="S25" s="185"/>
    </row>
    <row r="26" spans="1:20" s="82" customFormat="1" ht="11.25" x14ac:dyDescent="0.2">
      <c r="A26" s="77"/>
      <c r="B26" s="77"/>
      <c r="C26" s="77"/>
      <c r="D26" s="77"/>
      <c r="E26" s="86"/>
      <c r="F26" s="186" t="s">
        <v>116</v>
      </c>
      <c r="G26" s="88"/>
      <c r="H26" s="88"/>
      <c r="I26" s="88"/>
      <c r="J26" s="88"/>
      <c r="K26" s="80"/>
      <c r="L26" s="22"/>
      <c r="M26" s="22"/>
      <c r="N26" s="22"/>
      <c r="O26" s="22"/>
      <c r="P26" s="22"/>
      <c r="Q26" s="22"/>
      <c r="R26" s="21"/>
      <c r="S26" s="187"/>
    </row>
    <row r="27" spans="1:20" s="82" customFormat="1" ht="33.75" x14ac:dyDescent="0.2">
      <c r="A27" s="59"/>
      <c r="B27" s="59"/>
      <c r="C27" s="77"/>
      <c r="D27" s="89"/>
      <c r="E27" s="86"/>
      <c r="F27" s="188" t="s">
        <v>43</v>
      </c>
      <c r="G27" s="68" t="s">
        <v>44</v>
      </c>
      <c r="H27" s="51" t="s">
        <v>7</v>
      </c>
      <c r="I27" s="51" t="s">
        <v>8</v>
      </c>
      <c r="J27" s="51" t="s">
        <v>9</v>
      </c>
      <c r="K27" s="51" t="s">
        <v>251</v>
      </c>
      <c r="L27" s="51" t="s">
        <v>21</v>
      </c>
      <c r="M27" s="51" t="s">
        <v>22</v>
      </c>
      <c r="N27" s="51" t="s">
        <v>23</v>
      </c>
      <c r="O27" s="51" t="s">
        <v>24</v>
      </c>
      <c r="P27" s="51" t="s">
        <v>25</v>
      </c>
      <c r="Q27" s="51" t="s">
        <v>26</v>
      </c>
      <c r="R27" s="64" t="s">
        <v>27</v>
      </c>
      <c r="S27" s="189" t="s">
        <v>28</v>
      </c>
    </row>
    <row r="28" spans="1:20" hidden="1" outlineLevel="1" x14ac:dyDescent="0.2">
      <c r="A28" s="59" t="str">
        <f>$G$7</f>
        <v>WISE &amp; Healthy Aging</v>
      </c>
      <c r="B28" s="59" t="str">
        <f>$G$8</f>
        <v>WISE Diner</v>
      </c>
      <c r="D28" s="59" t="s">
        <v>41</v>
      </c>
      <c r="E28" s="29" t="s">
        <v>42</v>
      </c>
      <c r="F28" s="251" t="s">
        <v>117</v>
      </c>
      <c r="G28" s="252" t="s">
        <v>118</v>
      </c>
      <c r="H28" s="253">
        <v>1</v>
      </c>
      <c r="I28" s="254">
        <v>9166.6666666666661</v>
      </c>
      <c r="J28" s="253">
        <f>H28*K28</f>
        <v>0.05</v>
      </c>
      <c r="K28" s="255">
        <v>0.05</v>
      </c>
      <c r="L28" s="256">
        <v>4500</v>
      </c>
      <c r="M28" s="256">
        <v>4500</v>
      </c>
      <c r="N28" s="257">
        <f>L28-M28</f>
        <v>0</v>
      </c>
      <c r="O28" s="279">
        <v>1455.4</v>
      </c>
      <c r="P28" s="279">
        <f>4500-1455-0.04</f>
        <v>3044.96</v>
      </c>
      <c r="Q28" s="258">
        <f>SUM(O28:P28)</f>
        <v>4500.3600000000006</v>
      </c>
      <c r="R28" s="259">
        <f t="shared" ref="R28:R35" si="17">IFERROR(Q28/M28,"N/A")</f>
        <v>1.0000800000000001</v>
      </c>
      <c r="S28" s="280">
        <f>Q28</f>
        <v>4500.3600000000006</v>
      </c>
      <c r="T28" s="315" t="s">
        <v>119</v>
      </c>
    </row>
    <row r="29" spans="1:20" collapsed="1" x14ac:dyDescent="0.2">
      <c r="F29" s="302"/>
      <c r="G29" s="303" t="s">
        <v>119</v>
      </c>
      <c r="H29" s="304"/>
      <c r="I29" s="305"/>
      <c r="J29" s="306"/>
      <c r="K29" s="304">
        <f>SUM(J28)</f>
        <v>0.05</v>
      </c>
      <c r="L29" s="228">
        <f>SUM(L28)</f>
        <v>4500</v>
      </c>
      <c r="M29" s="228">
        <f t="shared" ref="M29:Q29" si="18">SUM(M28)</f>
        <v>4500</v>
      </c>
      <c r="N29" s="228">
        <f t="shared" si="18"/>
        <v>0</v>
      </c>
      <c r="O29" s="287">
        <f t="shared" si="18"/>
        <v>1455.4</v>
      </c>
      <c r="P29" s="287">
        <f t="shared" si="18"/>
        <v>3044.96</v>
      </c>
      <c r="Q29" s="307">
        <f t="shared" si="18"/>
        <v>4500.3600000000006</v>
      </c>
      <c r="R29" s="44">
        <f t="shared" si="17"/>
        <v>1.0000800000000001</v>
      </c>
      <c r="S29" s="308">
        <f>SUM(S28)</f>
        <v>4500.3600000000006</v>
      </c>
      <c r="T29" s="315"/>
    </row>
    <row r="30" spans="1:20" hidden="1" outlineLevel="1" x14ac:dyDescent="0.2">
      <c r="A30" s="59" t="str">
        <f>$G$7</f>
        <v>WISE &amp; Healthy Aging</v>
      </c>
      <c r="B30" s="59" t="str">
        <f>$G$8</f>
        <v>WISE Diner</v>
      </c>
      <c r="D30" s="59" t="s">
        <v>41</v>
      </c>
      <c r="E30" s="29" t="s">
        <v>42</v>
      </c>
      <c r="F30" s="260" t="s">
        <v>120</v>
      </c>
      <c r="G30" s="221" t="s">
        <v>121</v>
      </c>
      <c r="H30" s="222">
        <v>1</v>
      </c>
      <c r="I30" s="223">
        <v>3900</v>
      </c>
      <c r="J30" s="224">
        <f t="shared" ref="J30:J34" si="19">H30*K30</f>
        <v>0.3</v>
      </c>
      <c r="K30" s="225">
        <v>0.3</v>
      </c>
      <c r="L30" s="226">
        <v>14040</v>
      </c>
      <c r="M30" s="226">
        <v>14040</v>
      </c>
      <c r="N30" s="228">
        <f>L30-M30</f>
        <v>0</v>
      </c>
      <c r="O30" s="281">
        <v>6524.53</v>
      </c>
      <c r="P30" s="281">
        <f>14040-6525</f>
        <v>7515</v>
      </c>
      <c r="Q30" s="50">
        <f>SUM(O30:P30)</f>
        <v>14039.529999999999</v>
      </c>
      <c r="R30" s="48">
        <f t="shared" si="17"/>
        <v>0.9999665242165241</v>
      </c>
      <c r="S30" s="282">
        <f>Q30</f>
        <v>14039.529999999999</v>
      </c>
      <c r="T30" s="315" t="s">
        <v>122</v>
      </c>
    </row>
    <row r="31" spans="1:20" hidden="1" outlineLevel="1" x14ac:dyDescent="0.2">
      <c r="A31" s="59" t="str">
        <f>$G$7</f>
        <v>WISE &amp; Healthy Aging</v>
      </c>
      <c r="B31" s="59" t="str">
        <f>$G$8</f>
        <v>WISE Diner</v>
      </c>
      <c r="D31" s="59" t="s">
        <v>41</v>
      </c>
      <c r="E31" s="29" t="s">
        <v>42</v>
      </c>
      <c r="F31" s="260" t="s">
        <v>123</v>
      </c>
      <c r="G31" s="221" t="s">
        <v>124</v>
      </c>
      <c r="H31" s="222">
        <v>1</v>
      </c>
      <c r="I31" s="223">
        <v>4583.333333333333</v>
      </c>
      <c r="J31" s="224">
        <f t="shared" si="19"/>
        <v>0.5</v>
      </c>
      <c r="K31" s="225">
        <v>0.5</v>
      </c>
      <c r="L31" s="226">
        <v>27500</v>
      </c>
      <c r="M31" s="226">
        <v>27500</v>
      </c>
      <c r="N31" s="228">
        <f>L31-M31</f>
        <v>0</v>
      </c>
      <c r="O31" s="281">
        <f>6663.51+8845.6</f>
        <v>15509.11</v>
      </c>
      <c r="P31" s="281">
        <f>27500-15509</f>
        <v>11991</v>
      </c>
      <c r="Q31" s="50">
        <f>SUM(O31:P31)</f>
        <v>27500.11</v>
      </c>
      <c r="R31" s="48">
        <f t="shared" si="17"/>
        <v>1.0000040000000001</v>
      </c>
      <c r="S31" s="283">
        <f>Q31</f>
        <v>27500.11</v>
      </c>
      <c r="T31" s="315" t="s">
        <v>122</v>
      </c>
    </row>
    <row r="32" spans="1:20" hidden="1" outlineLevel="1" x14ac:dyDescent="0.2">
      <c r="A32" s="59" t="str">
        <f>$G$7</f>
        <v>WISE &amp; Healthy Aging</v>
      </c>
      <c r="B32" s="59" t="str">
        <f>$G$8</f>
        <v>WISE Diner</v>
      </c>
      <c r="D32" s="59" t="s">
        <v>41</v>
      </c>
      <c r="E32" s="29" t="s">
        <v>42</v>
      </c>
      <c r="F32" s="260" t="s">
        <v>45</v>
      </c>
      <c r="G32" s="221" t="s">
        <v>125</v>
      </c>
      <c r="H32" s="222">
        <v>0.125</v>
      </c>
      <c r="I32" s="223">
        <v>357.5</v>
      </c>
      <c r="J32" s="224">
        <f t="shared" si="19"/>
        <v>0.125</v>
      </c>
      <c r="K32" s="225">
        <v>1</v>
      </c>
      <c r="L32" s="226">
        <v>0</v>
      </c>
      <c r="M32" s="226">
        <v>0</v>
      </c>
      <c r="N32" s="228">
        <f>L32-M32</f>
        <v>0</v>
      </c>
      <c r="O32" s="281">
        <v>0</v>
      </c>
      <c r="P32" s="281">
        <v>0</v>
      </c>
      <c r="Q32" s="50">
        <f>SUM(O32:P32)</f>
        <v>0</v>
      </c>
      <c r="R32" s="48" t="str">
        <f t="shared" si="17"/>
        <v>N/A</v>
      </c>
      <c r="S32" s="282">
        <f>Q32</f>
        <v>0</v>
      </c>
      <c r="T32" s="315" t="s">
        <v>122</v>
      </c>
    </row>
    <row r="33" spans="1:20" hidden="1" outlineLevel="1" x14ac:dyDescent="0.2">
      <c r="A33" s="59" t="str">
        <f>$G$7</f>
        <v>WISE &amp; Healthy Aging</v>
      </c>
      <c r="B33" s="59" t="str">
        <f>$G$8</f>
        <v>WISE Diner</v>
      </c>
      <c r="D33" s="59" t="s">
        <v>41</v>
      </c>
      <c r="E33" s="29" t="s">
        <v>42</v>
      </c>
      <c r="F33" s="260" t="s">
        <v>45</v>
      </c>
      <c r="G33" s="221" t="s">
        <v>125</v>
      </c>
      <c r="H33" s="222">
        <v>0.25</v>
      </c>
      <c r="I33" s="223">
        <v>715</v>
      </c>
      <c r="J33" s="224">
        <f t="shared" si="19"/>
        <v>0.25</v>
      </c>
      <c r="K33" s="225">
        <v>1</v>
      </c>
      <c r="L33" s="226">
        <v>0</v>
      </c>
      <c r="M33" s="226">
        <v>0</v>
      </c>
      <c r="N33" s="228">
        <f>L33-M33</f>
        <v>0</v>
      </c>
      <c r="O33" s="281">
        <v>0</v>
      </c>
      <c r="P33" s="281">
        <v>0</v>
      </c>
      <c r="Q33" s="50">
        <f>SUM(O33:P33)</f>
        <v>0</v>
      </c>
      <c r="R33" s="48" t="str">
        <f t="shared" si="17"/>
        <v>N/A</v>
      </c>
      <c r="S33" s="282">
        <f>Q33</f>
        <v>0</v>
      </c>
      <c r="T33" s="315" t="s">
        <v>122</v>
      </c>
    </row>
    <row r="34" spans="1:20" hidden="1" outlineLevel="1" x14ac:dyDescent="0.2">
      <c r="A34" s="59" t="str">
        <f>$G$7</f>
        <v>WISE &amp; Healthy Aging</v>
      </c>
      <c r="B34" s="59" t="str">
        <f>$G$8</f>
        <v>WISE Diner</v>
      </c>
      <c r="D34" s="59" t="s">
        <v>41</v>
      </c>
      <c r="E34" s="29" t="s">
        <v>42</v>
      </c>
      <c r="F34" s="260" t="s">
        <v>45</v>
      </c>
      <c r="G34" s="221" t="s">
        <v>125</v>
      </c>
      <c r="H34" s="229">
        <v>0.25</v>
      </c>
      <c r="I34" s="230">
        <v>715</v>
      </c>
      <c r="J34" s="231">
        <f t="shared" si="19"/>
        <v>0.25</v>
      </c>
      <c r="K34" s="232">
        <v>1</v>
      </c>
      <c r="L34" s="226">
        <v>0</v>
      </c>
      <c r="M34" s="226">
        <v>0</v>
      </c>
      <c r="N34" s="228">
        <f>L34-M34</f>
        <v>0</v>
      </c>
      <c r="O34" s="281">
        <v>0</v>
      </c>
      <c r="P34" s="281">
        <v>0</v>
      </c>
      <c r="Q34" s="50">
        <f>SUM(O34:P34)</f>
        <v>0</v>
      </c>
      <c r="R34" s="48" t="str">
        <f t="shared" si="17"/>
        <v>N/A</v>
      </c>
      <c r="S34" s="282">
        <f>Q34</f>
        <v>0</v>
      </c>
      <c r="T34" s="315" t="s">
        <v>122</v>
      </c>
    </row>
    <row r="35" spans="1:20" collapsed="1" x14ac:dyDescent="0.2">
      <c r="F35" s="309"/>
      <c r="G35" s="310" t="s">
        <v>122</v>
      </c>
      <c r="H35" s="229"/>
      <c r="I35" s="230"/>
      <c r="J35" s="231"/>
      <c r="K35" s="304">
        <f>SUM(J30:J34)</f>
        <v>1.425</v>
      </c>
      <c r="L35" s="237">
        <f>SUM(L30:L34)</f>
        <v>41540</v>
      </c>
      <c r="M35" s="235">
        <f t="shared" ref="M35:Q35" si="20">SUM(M30:M34)</f>
        <v>41540</v>
      </c>
      <c r="N35" s="311">
        <f t="shared" si="20"/>
        <v>0</v>
      </c>
      <c r="O35" s="289">
        <f t="shared" si="20"/>
        <v>22033.64</v>
      </c>
      <c r="P35" s="289">
        <f t="shared" si="20"/>
        <v>19506</v>
      </c>
      <c r="Q35" s="312">
        <f t="shared" si="20"/>
        <v>41539.64</v>
      </c>
      <c r="R35" s="62">
        <f t="shared" si="17"/>
        <v>0.99999133365430903</v>
      </c>
      <c r="S35" s="313">
        <f>SUM(S30:S34)</f>
        <v>41539.64</v>
      </c>
      <c r="T35" s="315"/>
    </row>
    <row r="36" spans="1:20" ht="13.5" thickBot="1" x14ac:dyDescent="0.25">
      <c r="A36" s="59" t="str">
        <f t="shared" ref="A36" si="21">$G$7</f>
        <v>WISE &amp; Healthy Aging</v>
      </c>
      <c r="B36" s="59" t="str">
        <f t="shared" ref="B36" si="22">$G$8</f>
        <v>WISE Diner</v>
      </c>
      <c r="D36" s="59" t="s">
        <v>41</v>
      </c>
      <c r="E36" s="29" t="s">
        <v>42</v>
      </c>
      <c r="F36" s="261"/>
      <c r="G36" s="262"/>
      <c r="H36" s="263"/>
      <c r="I36" s="264"/>
      <c r="J36" s="265"/>
      <c r="K36" s="266"/>
      <c r="L36" s="267">
        <v>0</v>
      </c>
      <c r="M36" s="267">
        <v>0</v>
      </c>
      <c r="N36" s="268">
        <f t="shared" ref="N36" si="23">L36-M36</f>
        <v>0</v>
      </c>
      <c r="O36" s="284">
        <v>0</v>
      </c>
      <c r="P36" s="284">
        <v>0</v>
      </c>
      <c r="Q36" s="269">
        <f t="shared" ref="Q36" si="24">SUM(O36:P36)</f>
        <v>0</v>
      </c>
      <c r="R36" s="270" t="str">
        <f t="shared" ref="R36" si="25">IFERROR(Q36/M36,"N/A")</f>
        <v>N/A</v>
      </c>
      <c r="S36" s="285">
        <v>0</v>
      </c>
    </row>
    <row r="37" spans="1:20" ht="13.5" thickBot="1" x14ac:dyDescent="0.25">
      <c r="F37" s="190"/>
      <c r="G37" s="179"/>
      <c r="H37" s="246" t="s">
        <v>46</v>
      </c>
      <c r="I37" s="247"/>
      <c r="J37" s="247"/>
      <c r="K37" s="314">
        <f>SUM(K29,K35)</f>
        <v>1.4750000000000001</v>
      </c>
      <c r="L37" s="248">
        <f>SUM(L29,L35)</f>
        <v>46040</v>
      </c>
      <c r="M37" s="248">
        <f>SUM(M29,M35)</f>
        <v>46040</v>
      </c>
      <c r="N37" s="248">
        <f>SUM(N29,N35)</f>
        <v>0</v>
      </c>
      <c r="O37" s="248">
        <f>SUM(O29,O35)</f>
        <v>23489.040000000001</v>
      </c>
      <c r="P37" s="248">
        <f t="shared" ref="P37" si="26">SUM(P28:P36)</f>
        <v>45101.919999999998</v>
      </c>
      <c r="Q37" s="248">
        <f>SUM(Q29,Q35)</f>
        <v>46040</v>
      </c>
      <c r="R37" s="249">
        <f t="shared" ref="R37" si="27">IFERROR(Q37/M37,"N/A")</f>
        <v>1</v>
      </c>
      <c r="S37" s="250">
        <f>SUM(S29,S35)</f>
        <v>46040</v>
      </c>
    </row>
    <row r="38" spans="1:20" ht="13.5" thickBot="1" x14ac:dyDescent="0.25">
      <c r="F38" s="43"/>
      <c r="G38" s="43"/>
      <c r="H38" s="43"/>
      <c r="I38" s="43"/>
      <c r="J38" s="43"/>
      <c r="K38" s="43"/>
    </row>
    <row r="39" spans="1:20" x14ac:dyDescent="0.2">
      <c r="F39" s="19" t="s">
        <v>47</v>
      </c>
      <c r="G39" s="18"/>
      <c r="H39" s="18"/>
      <c r="I39" s="18"/>
      <c r="J39" s="18"/>
      <c r="K39" s="17"/>
      <c r="L39" s="16"/>
      <c r="M39" s="16"/>
      <c r="N39" s="16"/>
      <c r="O39" s="16"/>
      <c r="P39" s="16"/>
      <c r="Q39" s="16"/>
      <c r="R39" s="15"/>
      <c r="S39" s="14"/>
    </row>
    <row r="40" spans="1:20" s="82" customFormat="1" x14ac:dyDescent="0.2">
      <c r="A40" s="59"/>
      <c r="B40" s="59"/>
      <c r="C40" s="77"/>
      <c r="D40" s="77"/>
      <c r="E40" s="86"/>
      <c r="F40" s="78" t="s">
        <v>126</v>
      </c>
      <c r="G40" s="88"/>
      <c r="H40" s="88"/>
      <c r="I40" s="88"/>
      <c r="J40" s="88"/>
      <c r="K40" s="80"/>
      <c r="L40" s="22"/>
      <c r="M40" s="22"/>
      <c r="N40" s="22"/>
      <c r="O40" s="22"/>
      <c r="P40" s="22"/>
      <c r="Q40" s="22"/>
      <c r="R40" s="21"/>
      <c r="S40" s="20"/>
    </row>
    <row r="41" spans="1:20" ht="33.75" x14ac:dyDescent="0.2">
      <c r="A41" s="59" t="str">
        <f t="shared" ref="A41:A47" si="28">$G$7</f>
        <v>WISE &amp; Healthy Aging</v>
      </c>
      <c r="B41" s="59" t="str">
        <f t="shared" ref="B41:B47" si="29">$G$8</f>
        <v>WISE Diner</v>
      </c>
      <c r="D41" s="59" t="s">
        <v>41</v>
      </c>
      <c r="E41" s="29" t="s">
        <v>47</v>
      </c>
      <c r="F41" s="67" t="s">
        <v>127</v>
      </c>
      <c r="G41" s="68"/>
      <c r="H41" s="69"/>
      <c r="I41" s="69"/>
      <c r="J41" s="69"/>
      <c r="K41" s="69"/>
      <c r="L41" s="51" t="s">
        <v>21</v>
      </c>
      <c r="M41" s="51" t="s">
        <v>22</v>
      </c>
      <c r="N41" s="51" t="s">
        <v>23</v>
      </c>
      <c r="O41" s="51" t="s">
        <v>24</v>
      </c>
      <c r="P41" s="51" t="s">
        <v>25</v>
      </c>
      <c r="Q41" s="51" t="s">
        <v>26</v>
      </c>
      <c r="R41" s="64" t="s">
        <v>27</v>
      </c>
      <c r="S41" s="65" t="s">
        <v>28</v>
      </c>
    </row>
    <row r="42" spans="1:20" x14ac:dyDescent="0.2">
      <c r="A42" s="59" t="str">
        <f t="shared" si="28"/>
        <v>WISE &amp; Healthy Aging</v>
      </c>
      <c r="B42" s="59" t="str">
        <f t="shared" si="29"/>
        <v>WISE Diner</v>
      </c>
      <c r="D42" s="59" t="s">
        <v>41</v>
      </c>
      <c r="E42" s="29" t="s">
        <v>47</v>
      </c>
      <c r="F42" s="233" t="s">
        <v>128</v>
      </c>
      <c r="G42" s="234"/>
      <c r="H42" s="47"/>
      <c r="I42" s="47"/>
      <c r="J42" s="47"/>
      <c r="K42" s="47"/>
      <c r="L42" s="235">
        <v>3539</v>
      </c>
      <c r="M42" s="235">
        <v>3539</v>
      </c>
      <c r="N42" s="227">
        <f t="shared" ref="N42" si="30">L42-M42</f>
        <v>0</v>
      </c>
      <c r="O42" s="281">
        <f>1083.15+649.15</f>
        <v>1732.3000000000002</v>
      </c>
      <c r="P42" s="281">
        <f>3471-1732</f>
        <v>1739</v>
      </c>
      <c r="Q42" s="49">
        <f>SUM(O42:P42)</f>
        <v>3471.3</v>
      </c>
      <c r="R42" s="48">
        <f>IFERROR(Q42/M42,"N/A")</f>
        <v>0.98087030234529538</v>
      </c>
      <c r="S42" s="286">
        <f t="shared" ref="S42:S46" si="31">Q42</f>
        <v>3471.3</v>
      </c>
    </row>
    <row r="43" spans="1:20" x14ac:dyDescent="0.2">
      <c r="A43" s="59" t="str">
        <f t="shared" si="28"/>
        <v>WISE &amp; Healthy Aging</v>
      </c>
      <c r="B43" s="59" t="str">
        <f t="shared" si="29"/>
        <v>WISE Diner</v>
      </c>
      <c r="D43" s="59" t="s">
        <v>41</v>
      </c>
      <c r="E43" s="29" t="s">
        <v>47</v>
      </c>
      <c r="F43" s="236" t="s">
        <v>70</v>
      </c>
      <c r="G43" s="234"/>
      <c r="H43" s="46"/>
      <c r="I43" s="47"/>
      <c r="J43" s="47"/>
      <c r="K43" s="47"/>
      <c r="L43" s="235">
        <v>1553</v>
      </c>
      <c r="M43" s="235">
        <v>1553</v>
      </c>
      <c r="N43" s="228">
        <f t="shared" ref="N43:N47" si="32">L43-M43</f>
        <v>0</v>
      </c>
      <c r="O43" s="281">
        <f>351.88+84.86</f>
        <v>436.74</v>
      </c>
      <c r="P43" s="287">
        <f>1221-437</f>
        <v>784</v>
      </c>
      <c r="Q43" s="45">
        <f t="shared" ref="Q43:Q47" si="33">SUM(O43:P43)</f>
        <v>1220.74</v>
      </c>
      <c r="R43" s="44">
        <f t="shared" ref="R43:R47" si="34">IFERROR(Q43/M43,"N/A")</f>
        <v>0.78605280103026398</v>
      </c>
      <c r="S43" s="288">
        <f t="shared" si="31"/>
        <v>1220.74</v>
      </c>
    </row>
    <row r="44" spans="1:20" x14ac:dyDescent="0.2">
      <c r="A44" s="59" t="str">
        <f t="shared" si="28"/>
        <v>WISE &amp; Healthy Aging</v>
      </c>
      <c r="B44" s="59" t="str">
        <f t="shared" si="29"/>
        <v>WISE Diner</v>
      </c>
      <c r="D44" s="59" t="s">
        <v>41</v>
      </c>
      <c r="E44" s="29" t="s">
        <v>47</v>
      </c>
      <c r="F44" s="236" t="s">
        <v>71</v>
      </c>
      <c r="G44" s="234"/>
      <c r="H44" s="46"/>
      <c r="I44" s="47"/>
      <c r="J44" s="47"/>
      <c r="K44" s="47"/>
      <c r="L44" s="235">
        <v>370</v>
      </c>
      <c r="M44" s="235">
        <v>370</v>
      </c>
      <c r="N44" s="228">
        <f t="shared" si="32"/>
        <v>0</v>
      </c>
      <c r="O44" s="281">
        <f>81.89</f>
        <v>81.89</v>
      </c>
      <c r="P44" s="287">
        <f>171-82</f>
        <v>89</v>
      </c>
      <c r="Q44" s="45">
        <f t="shared" si="33"/>
        <v>170.89</v>
      </c>
      <c r="R44" s="44">
        <f t="shared" si="34"/>
        <v>0.46186486486486483</v>
      </c>
      <c r="S44" s="288">
        <f t="shared" si="31"/>
        <v>170.89</v>
      </c>
    </row>
    <row r="45" spans="1:20" x14ac:dyDescent="0.2">
      <c r="A45" s="59" t="str">
        <f t="shared" si="28"/>
        <v>WISE &amp; Healthy Aging</v>
      </c>
      <c r="B45" s="59" t="str">
        <f t="shared" si="29"/>
        <v>WISE Diner</v>
      </c>
      <c r="D45" s="59" t="s">
        <v>41</v>
      </c>
      <c r="E45" s="29" t="s">
        <v>47</v>
      </c>
      <c r="F45" s="236" t="s">
        <v>72</v>
      </c>
      <c r="G45" s="234"/>
      <c r="H45" s="46"/>
      <c r="I45" s="47"/>
      <c r="J45" s="47"/>
      <c r="K45" s="47"/>
      <c r="L45" s="235">
        <v>6294</v>
      </c>
      <c r="M45" s="235">
        <v>6294</v>
      </c>
      <c r="N45" s="228">
        <f t="shared" si="32"/>
        <v>0</v>
      </c>
      <c r="O45" s="281">
        <f>2483.13+509.14</f>
        <v>2992.27</v>
      </c>
      <c r="P45" s="287">
        <f>7629-2992</f>
        <v>4637</v>
      </c>
      <c r="Q45" s="45">
        <f t="shared" si="33"/>
        <v>7629.27</v>
      </c>
      <c r="R45" s="44">
        <f t="shared" si="34"/>
        <v>1.2121496663489038</v>
      </c>
      <c r="S45" s="288">
        <f t="shared" si="31"/>
        <v>7629.27</v>
      </c>
    </row>
    <row r="46" spans="1:20" x14ac:dyDescent="0.2">
      <c r="A46" s="59" t="str">
        <f t="shared" si="28"/>
        <v>WISE &amp; Healthy Aging</v>
      </c>
      <c r="B46" s="59" t="str">
        <f t="shared" si="29"/>
        <v>WISE Diner</v>
      </c>
      <c r="D46" s="59" t="s">
        <v>41</v>
      </c>
      <c r="E46" s="29" t="s">
        <v>47</v>
      </c>
      <c r="F46" s="236" t="s">
        <v>129</v>
      </c>
      <c r="G46" s="234"/>
      <c r="H46" s="46"/>
      <c r="I46" s="47"/>
      <c r="J46" s="47"/>
      <c r="K46" s="47"/>
      <c r="L46" s="235">
        <v>592</v>
      </c>
      <c r="M46" s="235">
        <v>592</v>
      </c>
      <c r="N46" s="228">
        <f t="shared" si="32"/>
        <v>0</v>
      </c>
      <c r="O46" s="281">
        <f>218.67+42.43</f>
        <v>261.09999999999997</v>
      </c>
      <c r="P46" s="287">
        <f>560-261</f>
        <v>299</v>
      </c>
      <c r="Q46" s="45">
        <f t="shared" si="33"/>
        <v>560.09999999999991</v>
      </c>
      <c r="R46" s="44">
        <f t="shared" si="34"/>
        <v>0.94611486486486474</v>
      </c>
      <c r="S46" s="288">
        <f t="shared" si="31"/>
        <v>560.09999999999991</v>
      </c>
    </row>
    <row r="47" spans="1:20" x14ac:dyDescent="0.2">
      <c r="A47" s="59" t="str">
        <f t="shared" si="28"/>
        <v>WISE &amp; Healthy Aging</v>
      </c>
      <c r="B47" s="59" t="str">
        <f t="shared" si="29"/>
        <v>WISE Diner</v>
      </c>
      <c r="D47" s="59" t="s">
        <v>41</v>
      </c>
      <c r="E47" s="29" t="s">
        <v>47</v>
      </c>
      <c r="F47" s="236"/>
      <c r="G47" s="234"/>
      <c r="H47" s="46"/>
      <c r="I47" s="47"/>
      <c r="J47" s="47"/>
      <c r="K47" s="47"/>
      <c r="L47" s="235">
        <v>0</v>
      </c>
      <c r="M47" s="235">
        <v>0</v>
      </c>
      <c r="N47" s="228">
        <f t="shared" si="32"/>
        <v>0</v>
      </c>
      <c r="O47" s="281">
        <v>0</v>
      </c>
      <c r="P47" s="287">
        <v>0</v>
      </c>
      <c r="Q47" s="45">
        <f t="shared" si="33"/>
        <v>0</v>
      </c>
      <c r="R47" s="44" t="str">
        <f t="shared" si="34"/>
        <v>N/A</v>
      </c>
      <c r="S47" s="288">
        <v>0</v>
      </c>
    </row>
    <row r="48" spans="1:20" ht="13.5" thickBot="1" x14ac:dyDescent="0.25">
      <c r="F48" s="70"/>
      <c r="G48" s="66"/>
      <c r="H48" s="71" t="s">
        <v>48</v>
      </c>
      <c r="I48" s="72"/>
      <c r="J48" s="72"/>
      <c r="K48" s="73"/>
      <c r="L48" s="74">
        <f t="shared" ref="L48:Q48" si="35">SUM(L42:L47)</f>
        <v>12348</v>
      </c>
      <c r="M48" s="74">
        <f t="shared" si="35"/>
        <v>12348</v>
      </c>
      <c r="N48" s="74">
        <f t="shared" si="35"/>
        <v>0</v>
      </c>
      <c r="O48" s="74">
        <f t="shared" si="35"/>
        <v>5504.3</v>
      </c>
      <c r="P48" s="74">
        <f t="shared" si="35"/>
        <v>7548</v>
      </c>
      <c r="Q48" s="74">
        <f t="shared" si="35"/>
        <v>13052.300000000001</v>
      </c>
      <c r="R48" s="75">
        <f>IFERROR(Q48/M48,"N/A")</f>
        <v>1.0570375769355362</v>
      </c>
      <c r="S48" s="76">
        <f>SUM(S42:S47)</f>
        <v>13052.300000000001</v>
      </c>
    </row>
    <row r="49" spans="1:19" ht="13.5" thickBot="1" x14ac:dyDescent="0.25">
      <c r="F49" s="43"/>
      <c r="G49" s="43"/>
      <c r="H49" s="43"/>
      <c r="I49" s="43"/>
      <c r="J49" s="43"/>
      <c r="K49" s="43"/>
    </row>
    <row r="50" spans="1:19" s="82" customFormat="1" x14ac:dyDescent="0.2">
      <c r="A50" s="59"/>
      <c r="B50" s="59"/>
      <c r="C50" s="77"/>
      <c r="D50" s="77"/>
      <c r="E50" s="86"/>
      <c r="F50" s="19" t="s">
        <v>49</v>
      </c>
      <c r="G50" s="18"/>
      <c r="H50" s="18"/>
      <c r="I50" s="18"/>
      <c r="J50" s="18"/>
      <c r="K50" s="17"/>
      <c r="L50" s="16"/>
      <c r="M50" s="16"/>
      <c r="N50" s="16"/>
      <c r="O50" s="16"/>
      <c r="P50" s="16"/>
      <c r="Q50" s="16"/>
      <c r="R50" s="15"/>
      <c r="S50" s="14"/>
    </row>
    <row r="51" spans="1:19" s="82" customFormat="1" x14ac:dyDescent="0.2">
      <c r="A51" s="59"/>
      <c r="B51" s="59"/>
      <c r="C51" s="77"/>
      <c r="D51" s="77"/>
      <c r="E51" s="86"/>
      <c r="F51" s="87" t="s">
        <v>130</v>
      </c>
      <c r="G51" s="88"/>
      <c r="H51" s="88"/>
      <c r="I51" s="88"/>
      <c r="J51" s="88"/>
      <c r="K51" s="80"/>
      <c r="L51" s="22"/>
      <c r="M51" s="22"/>
      <c r="N51" s="22"/>
      <c r="O51" s="22"/>
      <c r="P51" s="22"/>
      <c r="Q51" s="22"/>
      <c r="R51" s="21"/>
      <c r="S51" s="20"/>
    </row>
    <row r="52" spans="1:19" x14ac:dyDescent="0.2">
      <c r="F52" s="87" t="s">
        <v>131</v>
      </c>
      <c r="G52" s="88"/>
      <c r="H52" s="88"/>
      <c r="I52" s="88"/>
      <c r="J52" s="88"/>
      <c r="K52" s="80"/>
      <c r="L52" s="22"/>
      <c r="M52" s="22"/>
      <c r="N52" s="22"/>
      <c r="O52" s="22"/>
      <c r="P52" s="22"/>
      <c r="Q52" s="22"/>
      <c r="R52" s="21"/>
      <c r="S52" s="20"/>
    </row>
    <row r="53" spans="1:19" ht="33.75" x14ac:dyDescent="0.2">
      <c r="F53" s="67" t="s">
        <v>127</v>
      </c>
      <c r="G53" s="68"/>
      <c r="H53" s="69"/>
      <c r="I53" s="69"/>
      <c r="J53" s="69"/>
      <c r="K53" s="69"/>
      <c r="L53" s="51" t="s">
        <v>21</v>
      </c>
      <c r="M53" s="51" t="s">
        <v>22</v>
      </c>
      <c r="N53" s="51" t="s">
        <v>23</v>
      </c>
      <c r="O53" s="51" t="s">
        <v>24</v>
      </c>
      <c r="P53" s="51" t="s">
        <v>25</v>
      </c>
      <c r="Q53" s="51" t="s">
        <v>26</v>
      </c>
      <c r="R53" s="64" t="s">
        <v>27</v>
      </c>
      <c r="S53" s="65" t="s">
        <v>28</v>
      </c>
    </row>
    <row r="54" spans="1:19" x14ac:dyDescent="0.2">
      <c r="A54" s="59" t="str">
        <f t="shared" ref="A54:A57" si="36">$G$7</f>
        <v>WISE &amp; Healthy Aging</v>
      </c>
      <c r="B54" s="59" t="str">
        <f t="shared" ref="B54:B57" si="37">$G$8</f>
        <v>WISE Diner</v>
      </c>
      <c r="D54" s="59" t="s">
        <v>41</v>
      </c>
      <c r="E54" s="29" t="s">
        <v>49</v>
      </c>
      <c r="F54" s="233" t="s">
        <v>132</v>
      </c>
      <c r="G54" s="234"/>
      <c r="H54" s="46"/>
      <c r="I54" s="47"/>
      <c r="J54" s="47"/>
      <c r="K54" s="47"/>
      <c r="L54" s="226">
        <v>1242</v>
      </c>
      <c r="M54" s="227">
        <v>1242</v>
      </c>
      <c r="N54" s="227">
        <f>L54-M54</f>
        <v>0</v>
      </c>
      <c r="O54" s="281">
        <f>294.35+1000</f>
        <v>1294.3499999999999</v>
      </c>
      <c r="P54" s="281">
        <f>1242-1294</f>
        <v>-52</v>
      </c>
      <c r="Q54" s="49">
        <f>SUM(O54:P54)</f>
        <v>1242.3499999999999</v>
      </c>
      <c r="R54" s="48">
        <f>IFERROR(Q54/M54,"N/A")</f>
        <v>1.000281803542673</v>
      </c>
      <c r="S54" s="286">
        <f t="shared" ref="S54:S56" si="38">Q54</f>
        <v>1242.3499999999999</v>
      </c>
    </row>
    <row r="55" spans="1:19" x14ac:dyDescent="0.2">
      <c r="A55" s="59" t="str">
        <f t="shared" si="36"/>
        <v>WISE &amp; Healthy Aging</v>
      </c>
      <c r="B55" s="59" t="str">
        <f t="shared" si="37"/>
        <v>WISE Diner</v>
      </c>
      <c r="D55" s="59" t="s">
        <v>41</v>
      </c>
      <c r="E55" s="29" t="s">
        <v>49</v>
      </c>
      <c r="F55" s="236" t="s">
        <v>133</v>
      </c>
      <c r="G55" s="234"/>
      <c r="H55" s="46"/>
      <c r="I55" s="47"/>
      <c r="J55" s="47"/>
      <c r="K55" s="47"/>
      <c r="L55" s="226">
        <v>395</v>
      </c>
      <c r="M55" s="227">
        <v>395</v>
      </c>
      <c r="N55" s="228">
        <f t="shared" ref="N55:N57" si="39">L55-M55</f>
        <v>0</v>
      </c>
      <c r="O55" s="281">
        <f>99.9+100</f>
        <v>199.9</v>
      </c>
      <c r="P55" s="287">
        <f>336-200</f>
        <v>136</v>
      </c>
      <c r="Q55" s="45">
        <f t="shared" ref="Q55:Q57" si="40">SUM(O55:P55)</f>
        <v>335.9</v>
      </c>
      <c r="R55" s="44">
        <f t="shared" ref="R55:R57" si="41">IFERROR(Q55/M55,"N/A")</f>
        <v>0.85037974683544293</v>
      </c>
      <c r="S55" s="288">
        <f t="shared" si="38"/>
        <v>335.9</v>
      </c>
    </row>
    <row r="56" spans="1:19" x14ac:dyDescent="0.2">
      <c r="A56" s="59" t="str">
        <f t="shared" si="36"/>
        <v>WISE &amp; Healthy Aging</v>
      </c>
      <c r="B56" s="59" t="str">
        <f t="shared" si="37"/>
        <v>WISE Diner</v>
      </c>
      <c r="D56" s="59" t="s">
        <v>41</v>
      </c>
      <c r="E56" s="29" t="s">
        <v>49</v>
      </c>
      <c r="F56" s="236" t="s">
        <v>134</v>
      </c>
      <c r="G56" s="234"/>
      <c r="H56" s="46"/>
      <c r="I56" s="47"/>
      <c r="J56" s="47"/>
      <c r="K56" s="47"/>
      <c r="L56" s="235">
        <v>130000</v>
      </c>
      <c r="M56" s="237">
        <v>120000</v>
      </c>
      <c r="N56" s="237">
        <f t="shared" si="39"/>
        <v>10000</v>
      </c>
      <c r="O56" s="289">
        <v>52814.97</v>
      </c>
      <c r="P56" s="289">
        <f>123759-52815-3049</f>
        <v>67895</v>
      </c>
      <c r="Q56" s="45">
        <f t="shared" si="40"/>
        <v>120709.97</v>
      </c>
      <c r="R56" s="44">
        <f t="shared" si="41"/>
        <v>1.0059164166666668</v>
      </c>
      <c r="S56" s="288">
        <f t="shared" si="38"/>
        <v>120709.97</v>
      </c>
    </row>
    <row r="57" spans="1:19" x14ac:dyDescent="0.2">
      <c r="A57" s="59" t="str">
        <f t="shared" si="36"/>
        <v>WISE &amp; Healthy Aging</v>
      </c>
      <c r="B57" s="59" t="str">
        <f t="shared" si="37"/>
        <v>WISE Diner</v>
      </c>
      <c r="D57" s="59" t="s">
        <v>41</v>
      </c>
      <c r="E57" s="29" t="s">
        <v>49</v>
      </c>
      <c r="F57" s="236"/>
      <c r="G57" s="234"/>
      <c r="H57" s="46"/>
      <c r="I57" s="47"/>
      <c r="J57" s="47"/>
      <c r="K57" s="47"/>
      <c r="L57" s="235">
        <v>0</v>
      </c>
      <c r="M57" s="237">
        <v>0</v>
      </c>
      <c r="N57" s="237">
        <f t="shared" si="39"/>
        <v>0</v>
      </c>
      <c r="O57" s="289">
        <v>0</v>
      </c>
      <c r="P57" s="289">
        <v>0</v>
      </c>
      <c r="Q57" s="45">
        <f t="shared" si="40"/>
        <v>0</v>
      </c>
      <c r="R57" s="44" t="str">
        <f t="shared" si="41"/>
        <v>N/A</v>
      </c>
      <c r="S57" s="288">
        <v>0</v>
      </c>
    </row>
    <row r="58" spans="1:19" ht="13.5" thickBot="1" x14ac:dyDescent="0.25">
      <c r="F58" s="70"/>
      <c r="G58" s="66"/>
      <c r="H58" s="71" t="s">
        <v>50</v>
      </c>
      <c r="I58" s="72"/>
      <c r="J58" s="72"/>
      <c r="K58" s="73"/>
      <c r="L58" s="74">
        <f t="shared" ref="L58:Q58" si="42">SUM(L54:L57)</f>
        <v>131637</v>
      </c>
      <c r="M58" s="74">
        <f t="shared" si="42"/>
        <v>121637</v>
      </c>
      <c r="N58" s="74">
        <f t="shared" si="42"/>
        <v>10000</v>
      </c>
      <c r="O58" s="74">
        <f t="shared" si="42"/>
        <v>54309.22</v>
      </c>
      <c r="P58" s="74">
        <f t="shared" si="42"/>
        <v>67979</v>
      </c>
      <c r="Q58" s="74">
        <f t="shared" si="42"/>
        <v>122288.22</v>
      </c>
      <c r="R58" s="75">
        <f>IFERROR(Q58/M58,"N/A")</f>
        <v>1.0053537985974663</v>
      </c>
      <c r="S58" s="76">
        <f>SUM(S54:S57)</f>
        <v>122288.22</v>
      </c>
    </row>
    <row r="59" spans="1:19" ht="13.5" thickBot="1" x14ac:dyDescent="0.25">
      <c r="F59" s="43"/>
      <c r="G59" s="43"/>
      <c r="H59" s="43"/>
      <c r="I59" s="43"/>
      <c r="J59" s="43"/>
      <c r="K59" s="43"/>
    </row>
    <row r="60" spans="1:19" s="82" customFormat="1" x14ac:dyDescent="0.2">
      <c r="A60" s="59"/>
      <c r="B60" s="59"/>
      <c r="C60" s="77"/>
      <c r="D60" s="77"/>
      <c r="E60" s="86"/>
      <c r="F60" s="19" t="s">
        <v>51</v>
      </c>
      <c r="G60" s="18"/>
      <c r="H60" s="18"/>
      <c r="I60" s="18"/>
      <c r="J60" s="18"/>
      <c r="K60" s="17"/>
      <c r="L60" s="16"/>
      <c r="M60" s="16"/>
      <c r="N60" s="16"/>
      <c r="O60" s="16"/>
      <c r="P60" s="16"/>
      <c r="Q60" s="16"/>
      <c r="R60" s="15"/>
      <c r="S60" s="14"/>
    </row>
    <row r="61" spans="1:19" x14ac:dyDescent="0.2">
      <c r="F61" s="87" t="s">
        <v>52</v>
      </c>
      <c r="G61" s="88"/>
      <c r="H61" s="88"/>
      <c r="I61" s="88"/>
      <c r="J61" s="88"/>
      <c r="K61" s="80"/>
      <c r="L61" s="22"/>
      <c r="M61" s="22"/>
      <c r="N61" s="22"/>
      <c r="O61" s="22"/>
      <c r="P61" s="22"/>
      <c r="Q61" s="22"/>
      <c r="R61" s="21"/>
      <c r="S61" s="20"/>
    </row>
    <row r="62" spans="1:19" ht="33.75" x14ac:dyDescent="0.2">
      <c r="F62" s="67" t="s">
        <v>127</v>
      </c>
      <c r="G62" s="68"/>
      <c r="H62" s="69"/>
      <c r="I62" s="69"/>
      <c r="J62" s="69"/>
      <c r="K62" s="69"/>
      <c r="L62" s="51" t="s">
        <v>21</v>
      </c>
      <c r="M62" s="51" t="s">
        <v>22</v>
      </c>
      <c r="N62" s="51" t="s">
        <v>23</v>
      </c>
      <c r="O62" s="51" t="s">
        <v>24</v>
      </c>
      <c r="P62" s="51" t="s">
        <v>25</v>
      </c>
      <c r="Q62" s="51" t="s">
        <v>26</v>
      </c>
      <c r="R62" s="64" t="s">
        <v>27</v>
      </c>
      <c r="S62" s="65" t="s">
        <v>28</v>
      </c>
    </row>
    <row r="63" spans="1:19" x14ac:dyDescent="0.2">
      <c r="A63" s="59" t="str">
        <f t="shared" ref="A63:A66" si="43">$G$7</f>
        <v>WISE &amp; Healthy Aging</v>
      </c>
      <c r="B63" s="59" t="str">
        <f t="shared" ref="B63:B66" si="44">$G$8</f>
        <v>WISE Diner</v>
      </c>
      <c r="D63" s="59" t="s">
        <v>41</v>
      </c>
      <c r="E63" s="29" t="s">
        <v>51</v>
      </c>
      <c r="F63" s="233" t="s">
        <v>135</v>
      </c>
      <c r="G63" s="234"/>
      <c r="H63" s="46"/>
      <c r="I63" s="47"/>
      <c r="J63" s="47"/>
      <c r="K63" s="47"/>
      <c r="L63" s="237">
        <v>0</v>
      </c>
      <c r="M63" s="227">
        <v>0</v>
      </c>
      <c r="N63" s="227">
        <f t="shared" ref="N63:N65" si="45">L63-M63</f>
        <v>0</v>
      </c>
      <c r="O63" s="281">
        <v>0</v>
      </c>
      <c r="P63" s="281">
        <v>0</v>
      </c>
      <c r="Q63" s="49">
        <f>SUM(O63:P63)</f>
        <v>0</v>
      </c>
      <c r="R63" s="48" t="str">
        <f>IFERROR(Q63/M63,"N/A")</f>
        <v>N/A</v>
      </c>
      <c r="S63" s="286">
        <f t="shared" ref="S63:S66" si="46">Q63</f>
        <v>0</v>
      </c>
    </row>
    <row r="64" spans="1:19" x14ac:dyDescent="0.2">
      <c r="A64" s="59" t="str">
        <f t="shared" si="43"/>
        <v>WISE &amp; Healthy Aging</v>
      </c>
      <c r="B64" s="59" t="str">
        <f t="shared" si="44"/>
        <v>WISE Diner</v>
      </c>
      <c r="D64" s="59" t="s">
        <v>41</v>
      </c>
      <c r="E64" s="29" t="s">
        <v>51</v>
      </c>
      <c r="F64" s="236" t="s">
        <v>136</v>
      </c>
      <c r="G64" s="234"/>
      <c r="H64" s="46"/>
      <c r="I64" s="47"/>
      <c r="J64" s="47"/>
      <c r="K64" s="47"/>
      <c r="L64" s="237">
        <v>0</v>
      </c>
      <c r="M64" s="227">
        <v>0</v>
      </c>
      <c r="N64" s="228">
        <f t="shared" si="45"/>
        <v>0</v>
      </c>
      <c r="O64" s="281">
        <v>0</v>
      </c>
      <c r="P64" s="287">
        <v>0</v>
      </c>
      <c r="Q64" s="45">
        <f>SUM(O64:P64)</f>
        <v>0</v>
      </c>
      <c r="R64" s="44" t="str">
        <f>IFERROR(Q64/M64,"N/A")</f>
        <v>N/A</v>
      </c>
      <c r="S64" s="288">
        <f t="shared" si="46"/>
        <v>0</v>
      </c>
    </row>
    <row r="65" spans="1:19" x14ac:dyDescent="0.2">
      <c r="A65" s="59" t="str">
        <f t="shared" si="43"/>
        <v>WISE &amp; Healthy Aging</v>
      </c>
      <c r="B65" s="59" t="str">
        <f t="shared" si="44"/>
        <v>WISE Diner</v>
      </c>
      <c r="D65" s="59" t="s">
        <v>41</v>
      </c>
      <c r="E65" s="29" t="s">
        <v>51</v>
      </c>
      <c r="F65" s="236" t="s">
        <v>137</v>
      </c>
      <c r="G65" s="234"/>
      <c r="H65" s="46"/>
      <c r="I65" s="47"/>
      <c r="J65" s="47"/>
      <c r="K65" s="47"/>
      <c r="L65" s="237">
        <v>0</v>
      </c>
      <c r="M65" s="227">
        <v>0</v>
      </c>
      <c r="N65" s="227">
        <f t="shared" si="45"/>
        <v>0</v>
      </c>
      <c r="O65" s="281">
        <v>0</v>
      </c>
      <c r="P65" s="281">
        <v>0</v>
      </c>
      <c r="Q65" s="49">
        <f t="shared" ref="Q65:Q66" si="47">SUM(O65:P65)</f>
        <v>0</v>
      </c>
      <c r="R65" s="48" t="str">
        <f t="shared" ref="R65:R66" si="48">IFERROR(Q65/M65,"N/A")</f>
        <v>N/A</v>
      </c>
      <c r="S65" s="286">
        <f t="shared" si="46"/>
        <v>0</v>
      </c>
    </row>
    <row r="66" spans="1:19" x14ac:dyDescent="0.2">
      <c r="A66" s="59" t="str">
        <f t="shared" si="43"/>
        <v>WISE &amp; Healthy Aging</v>
      </c>
      <c r="B66" s="59" t="str">
        <f t="shared" si="44"/>
        <v>WISE Diner</v>
      </c>
      <c r="D66" s="59" t="s">
        <v>41</v>
      </c>
      <c r="E66" s="29" t="s">
        <v>51</v>
      </c>
      <c r="F66" s="236"/>
      <c r="G66" s="234"/>
      <c r="H66" s="46"/>
      <c r="I66" s="47"/>
      <c r="J66" s="47"/>
      <c r="K66" s="47"/>
      <c r="L66" s="237">
        <v>0</v>
      </c>
      <c r="M66" s="237">
        <v>0</v>
      </c>
      <c r="N66" s="237">
        <f t="shared" ref="N66" si="49">L66-M66</f>
        <v>0</v>
      </c>
      <c r="O66" s="289">
        <v>0</v>
      </c>
      <c r="P66" s="289">
        <v>0</v>
      </c>
      <c r="Q66" s="45">
        <f t="shared" si="47"/>
        <v>0</v>
      </c>
      <c r="R66" s="44" t="str">
        <f t="shared" si="48"/>
        <v>N/A</v>
      </c>
      <c r="S66" s="288">
        <f t="shared" si="46"/>
        <v>0</v>
      </c>
    </row>
    <row r="67" spans="1:19" ht="13.5" thickBot="1" x14ac:dyDescent="0.25">
      <c r="E67" s="43"/>
      <c r="F67" s="70"/>
      <c r="G67" s="66"/>
      <c r="H67" s="71" t="s">
        <v>53</v>
      </c>
      <c r="I67" s="72"/>
      <c r="J67" s="72"/>
      <c r="K67" s="73"/>
      <c r="L67" s="74">
        <f t="shared" ref="L67:Q67" si="50">SUM(L63:L66)</f>
        <v>0</v>
      </c>
      <c r="M67" s="74">
        <f t="shared" si="50"/>
        <v>0</v>
      </c>
      <c r="N67" s="74">
        <f t="shared" si="50"/>
        <v>0</v>
      </c>
      <c r="O67" s="74">
        <f t="shared" si="50"/>
        <v>0</v>
      </c>
      <c r="P67" s="74">
        <f t="shared" si="50"/>
        <v>0</v>
      </c>
      <c r="Q67" s="74">
        <f t="shared" si="50"/>
        <v>0</v>
      </c>
      <c r="R67" s="75" t="str">
        <f>IFERROR(Q67/M67,"N/A")</f>
        <v>N/A</v>
      </c>
      <c r="S67" s="76">
        <f>SUM(S63:S64)</f>
        <v>0</v>
      </c>
    </row>
    <row r="68" spans="1:19" ht="13.5" thickBot="1" x14ac:dyDescent="0.25">
      <c r="F68" s="43"/>
      <c r="G68" s="43"/>
      <c r="H68" s="43"/>
      <c r="I68" s="43"/>
      <c r="J68" s="43"/>
      <c r="K68" s="43"/>
    </row>
    <row r="69" spans="1:19" s="82" customFormat="1" x14ac:dyDescent="0.2">
      <c r="A69" s="59"/>
      <c r="B69" s="59"/>
      <c r="C69" s="77"/>
      <c r="D69" s="77"/>
      <c r="E69" s="86"/>
      <c r="F69" s="19" t="s">
        <v>54</v>
      </c>
      <c r="G69" s="18"/>
      <c r="H69" s="18"/>
      <c r="I69" s="18"/>
      <c r="J69" s="18"/>
      <c r="K69" s="17"/>
      <c r="L69" s="16"/>
      <c r="M69" s="16"/>
      <c r="N69" s="16"/>
      <c r="O69" s="16"/>
      <c r="P69" s="16"/>
      <c r="Q69" s="16"/>
      <c r="R69" s="15"/>
      <c r="S69" s="14"/>
    </row>
    <row r="70" spans="1:19" x14ac:dyDescent="0.2">
      <c r="F70" s="87" t="s">
        <v>138</v>
      </c>
      <c r="G70" s="88"/>
      <c r="H70" s="88"/>
      <c r="I70" s="88"/>
      <c r="J70" s="88"/>
      <c r="K70" s="80"/>
      <c r="L70" s="22"/>
      <c r="M70" s="22"/>
      <c r="N70" s="22"/>
      <c r="O70" s="22"/>
      <c r="P70" s="22"/>
      <c r="Q70" s="22"/>
      <c r="R70" s="21"/>
      <c r="S70" s="20"/>
    </row>
    <row r="71" spans="1:19" ht="33.75" x14ac:dyDescent="0.2">
      <c r="F71" s="67" t="s">
        <v>127</v>
      </c>
      <c r="G71" s="68"/>
      <c r="H71" s="69"/>
      <c r="I71" s="69"/>
      <c r="J71" s="69"/>
      <c r="K71" s="69"/>
      <c r="L71" s="51" t="s">
        <v>21</v>
      </c>
      <c r="M71" s="51" t="s">
        <v>22</v>
      </c>
      <c r="N71" s="51" t="s">
        <v>23</v>
      </c>
      <c r="O71" s="51" t="s">
        <v>24</v>
      </c>
      <c r="P71" s="51" t="s">
        <v>25</v>
      </c>
      <c r="Q71" s="51" t="s">
        <v>26</v>
      </c>
      <c r="R71" s="64" t="s">
        <v>27</v>
      </c>
      <c r="S71" s="65" t="s">
        <v>28</v>
      </c>
    </row>
    <row r="72" spans="1:19" x14ac:dyDescent="0.2">
      <c r="A72" s="59" t="str">
        <f t="shared" ref="A72:A74" si="51">$G$7</f>
        <v>WISE &amp; Healthy Aging</v>
      </c>
      <c r="B72" s="59" t="str">
        <f t="shared" ref="B72:B74" si="52">$G$8</f>
        <v>WISE Diner</v>
      </c>
      <c r="D72" s="59" t="s">
        <v>41</v>
      </c>
      <c r="E72" s="29" t="s">
        <v>54</v>
      </c>
      <c r="F72" s="233" t="s">
        <v>139</v>
      </c>
      <c r="G72" s="234"/>
      <c r="H72" s="46"/>
      <c r="I72" s="47"/>
      <c r="J72" s="47"/>
      <c r="K72" s="47"/>
      <c r="L72" s="237">
        <v>4000</v>
      </c>
      <c r="M72" s="227">
        <v>4000</v>
      </c>
      <c r="N72" s="227">
        <f t="shared" ref="N72:N74" si="53">L72-M72</f>
        <v>0</v>
      </c>
      <c r="O72" s="281">
        <v>0</v>
      </c>
      <c r="P72" s="281">
        <v>4000</v>
      </c>
      <c r="Q72" s="49">
        <f>SUM(O72:P72)</f>
        <v>4000</v>
      </c>
      <c r="R72" s="48">
        <f>IFERROR(Q72/M72,"N/A")</f>
        <v>1</v>
      </c>
      <c r="S72" s="286">
        <f t="shared" ref="S72:S74" si="54">Q72</f>
        <v>4000</v>
      </c>
    </row>
    <row r="73" spans="1:19" x14ac:dyDescent="0.2">
      <c r="F73" s="271" t="s">
        <v>140</v>
      </c>
      <c r="G73" s="234"/>
      <c r="H73" s="46"/>
      <c r="I73" s="47"/>
      <c r="J73" s="47"/>
      <c r="K73" s="47"/>
      <c r="L73" s="237">
        <v>6000</v>
      </c>
      <c r="M73" s="227">
        <v>6000</v>
      </c>
      <c r="N73" s="227">
        <f t="shared" ref="N73" si="55">L73-M73</f>
        <v>0</v>
      </c>
      <c r="O73" s="281">
        <v>0</v>
      </c>
      <c r="P73" s="281">
        <f>6000-2.47</f>
        <v>5997.53</v>
      </c>
      <c r="Q73" s="49">
        <f>SUM(O73:P73)</f>
        <v>5997.53</v>
      </c>
      <c r="R73" s="48">
        <f>IFERROR(Q73/M73,"N/A")</f>
        <v>0.9995883333333333</v>
      </c>
      <c r="S73" s="286">
        <f t="shared" si="54"/>
        <v>5997.53</v>
      </c>
    </row>
    <row r="74" spans="1:19" x14ac:dyDescent="0.2">
      <c r="A74" s="59" t="str">
        <f t="shared" si="51"/>
        <v>WISE &amp; Healthy Aging</v>
      </c>
      <c r="B74" s="59" t="str">
        <f t="shared" si="52"/>
        <v>WISE Diner</v>
      </c>
      <c r="D74" s="59" t="s">
        <v>41</v>
      </c>
      <c r="E74" s="29" t="s">
        <v>54</v>
      </c>
      <c r="F74" s="236"/>
      <c r="G74" s="234"/>
      <c r="H74" s="46"/>
      <c r="I74" s="47"/>
      <c r="J74" s="47"/>
      <c r="K74" s="47"/>
      <c r="L74" s="237">
        <v>0</v>
      </c>
      <c r="M74" s="227">
        <v>0</v>
      </c>
      <c r="N74" s="228">
        <f t="shared" si="53"/>
        <v>0</v>
      </c>
      <c r="O74" s="281">
        <v>0</v>
      </c>
      <c r="P74" s="287">
        <v>0</v>
      </c>
      <c r="Q74" s="45">
        <f t="shared" ref="Q74" si="56">SUM(O74:P74)</f>
        <v>0</v>
      </c>
      <c r="R74" s="44" t="str">
        <f t="shared" ref="R74" si="57">IFERROR(Q74/M74,"N/A")</f>
        <v>N/A</v>
      </c>
      <c r="S74" s="288">
        <f t="shared" si="54"/>
        <v>0</v>
      </c>
    </row>
    <row r="75" spans="1:19" ht="13.5" thickBot="1" x14ac:dyDescent="0.25">
      <c r="F75" s="70"/>
      <c r="G75" s="66"/>
      <c r="H75" s="71" t="s">
        <v>55</v>
      </c>
      <c r="I75" s="72"/>
      <c r="J75" s="72"/>
      <c r="K75" s="73"/>
      <c r="L75" s="74">
        <f t="shared" ref="L75:Q75" si="58">SUM(L72:L74)</f>
        <v>10000</v>
      </c>
      <c r="M75" s="74">
        <f t="shared" si="58"/>
        <v>10000</v>
      </c>
      <c r="N75" s="74">
        <f t="shared" si="58"/>
        <v>0</v>
      </c>
      <c r="O75" s="74">
        <f t="shared" si="58"/>
        <v>0</v>
      </c>
      <c r="P75" s="74">
        <f t="shared" si="58"/>
        <v>9997.5299999999988</v>
      </c>
      <c r="Q75" s="74">
        <f t="shared" si="58"/>
        <v>9997.5299999999988</v>
      </c>
      <c r="R75" s="75">
        <f>IFERROR(Q75/M75,"N/A")</f>
        <v>0.99975299999999989</v>
      </c>
      <c r="S75" s="76">
        <f>SUM(S72:S74)</f>
        <v>9997.5299999999988</v>
      </c>
    </row>
    <row r="76" spans="1:19" ht="13.5" thickBot="1" x14ac:dyDescent="0.25">
      <c r="F76" s="43"/>
      <c r="G76" s="43"/>
      <c r="H76" s="43"/>
      <c r="I76" s="43"/>
      <c r="J76" s="43"/>
      <c r="K76" s="43"/>
    </row>
    <row r="77" spans="1:19" s="82" customFormat="1" x14ac:dyDescent="0.2">
      <c r="A77" s="59"/>
      <c r="B77" s="59"/>
      <c r="C77" s="77"/>
      <c r="D77" s="77"/>
      <c r="E77" s="86"/>
      <c r="F77" s="19" t="s">
        <v>56</v>
      </c>
      <c r="G77" s="18"/>
      <c r="H77" s="18"/>
      <c r="I77" s="18"/>
      <c r="J77" s="18"/>
      <c r="K77" s="17"/>
      <c r="L77" s="16"/>
      <c r="M77" s="16"/>
      <c r="N77" s="16"/>
      <c r="O77" s="16"/>
      <c r="P77" s="16"/>
      <c r="Q77" s="16"/>
      <c r="R77" s="15"/>
      <c r="S77" s="14"/>
    </row>
    <row r="78" spans="1:19" x14ac:dyDescent="0.2">
      <c r="F78" s="87" t="s">
        <v>141</v>
      </c>
      <c r="G78" s="88"/>
      <c r="H78" s="88"/>
      <c r="I78" s="88"/>
      <c r="J78" s="88"/>
      <c r="K78" s="80"/>
      <c r="L78" s="22"/>
      <c r="M78" s="22"/>
      <c r="N78" s="22"/>
      <c r="O78" s="22"/>
      <c r="P78" s="22"/>
      <c r="Q78" s="22"/>
      <c r="R78" s="21"/>
      <c r="S78" s="20"/>
    </row>
    <row r="79" spans="1:19" ht="33.75" x14ac:dyDescent="0.2">
      <c r="F79" s="67" t="s">
        <v>127</v>
      </c>
      <c r="G79" s="68"/>
      <c r="H79" s="69"/>
      <c r="I79" s="69"/>
      <c r="J79" s="69"/>
      <c r="K79" s="69"/>
      <c r="L79" s="51" t="s">
        <v>21</v>
      </c>
      <c r="M79" s="51" t="s">
        <v>22</v>
      </c>
      <c r="N79" s="51" t="s">
        <v>23</v>
      </c>
      <c r="O79" s="51" t="s">
        <v>24</v>
      </c>
      <c r="P79" s="51" t="s">
        <v>25</v>
      </c>
      <c r="Q79" s="51" t="s">
        <v>26</v>
      </c>
      <c r="R79" s="64" t="s">
        <v>27</v>
      </c>
      <c r="S79" s="65" t="s">
        <v>28</v>
      </c>
    </row>
    <row r="80" spans="1:19" x14ac:dyDescent="0.2">
      <c r="A80" s="59" t="str">
        <f t="shared" ref="A80:A82" si="59">$G$7</f>
        <v>WISE &amp; Healthy Aging</v>
      </c>
      <c r="B80" s="59" t="str">
        <f t="shared" ref="B80:B82" si="60">$G$8</f>
        <v>WISE Diner</v>
      </c>
      <c r="D80" s="59" t="s">
        <v>41</v>
      </c>
      <c r="E80" s="29" t="s">
        <v>56</v>
      </c>
      <c r="F80" s="233" t="s">
        <v>142</v>
      </c>
      <c r="G80" s="234"/>
      <c r="H80" s="46"/>
      <c r="I80" s="47"/>
      <c r="J80" s="47"/>
      <c r="K80" s="47"/>
      <c r="L80" s="237">
        <v>0</v>
      </c>
      <c r="M80" s="227">
        <v>0</v>
      </c>
      <c r="N80" s="227">
        <f t="shared" ref="N80:N82" si="61">L80-M80</f>
        <v>0</v>
      </c>
      <c r="O80" s="281">
        <v>0</v>
      </c>
      <c r="P80" s="281">
        <v>0</v>
      </c>
      <c r="Q80" s="49">
        <f t="shared" ref="Q80:Q82" si="62">SUM(O80:P80)</f>
        <v>0</v>
      </c>
      <c r="R80" s="48" t="str">
        <f t="shared" ref="R80:R82" si="63">IFERROR(Q80/M80,"N/A")</f>
        <v>N/A</v>
      </c>
      <c r="S80" s="286">
        <f t="shared" ref="S80:S82" si="64">Q80</f>
        <v>0</v>
      </c>
    </row>
    <row r="81" spans="1:19" x14ac:dyDescent="0.2">
      <c r="A81" s="59" t="str">
        <f t="shared" si="59"/>
        <v>WISE &amp; Healthy Aging</v>
      </c>
      <c r="B81" s="59" t="str">
        <f t="shared" si="60"/>
        <v>WISE Diner</v>
      </c>
      <c r="D81" s="59" t="s">
        <v>41</v>
      </c>
      <c r="E81" s="29" t="s">
        <v>56</v>
      </c>
      <c r="F81" s="236" t="s">
        <v>143</v>
      </c>
      <c r="G81" s="234"/>
      <c r="H81" s="46"/>
      <c r="I81" s="47"/>
      <c r="J81" s="47"/>
      <c r="K81" s="47"/>
      <c r="L81" s="237">
        <v>258</v>
      </c>
      <c r="M81" s="227">
        <v>258</v>
      </c>
      <c r="N81" s="228">
        <f t="shared" si="61"/>
        <v>0</v>
      </c>
      <c r="O81" s="281">
        <v>243.68</v>
      </c>
      <c r="P81" s="287">
        <f>258-244</f>
        <v>14</v>
      </c>
      <c r="Q81" s="45">
        <f t="shared" si="62"/>
        <v>257.68</v>
      </c>
      <c r="R81" s="44">
        <f t="shared" si="63"/>
        <v>0.99875968992248065</v>
      </c>
      <c r="S81" s="288">
        <f t="shared" si="64"/>
        <v>257.68</v>
      </c>
    </row>
    <row r="82" spans="1:19" x14ac:dyDescent="0.2">
      <c r="A82" s="59" t="str">
        <f t="shared" si="59"/>
        <v>WISE &amp; Healthy Aging</v>
      </c>
      <c r="B82" s="59" t="str">
        <f t="shared" si="60"/>
        <v>WISE Diner</v>
      </c>
      <c r="D82" s="59" t="s">
        <v>41</v>
      </c>
      <c r="E82" s="29" t="s">
        <v>56</v>
      </c>
      <c r="F82" s="236"/>
      <c r="G82" s="234"/>
      <c r="H82" s="46"/>
      <c r="I82" s="47"/>
      <c r="J82" s="47"/>
      <c r="K82" s="47"/>
      <c r="L82" s="237">
        <v>0</v>
      </c>
      <c r="M82" s="227">
        <v>0</v>
      </c>
      <c r="N82" s="227">
        <f t="shared" si="61"/>
        <v>0</v>
      </c>
      <c r="O82" s="281">
        <v>0</v>
      </c>
      <c r="P82" s="281">
        <v>0</v>
      </c>
      <c r="Q82" s="49">
        <f t="shared" si="62"/>
        <v>0</v>
      </c>
      <c r="R82" s="48" t="str">
        <f t="shared" si="63"/>
        <v>N/A</v>
      </c>
      <c r="S82" s="286">
        <f t="shared" si="64"/>
        <v>0</v>
      </c>
    </row>
    <row r="83" spans="1:19" ht="13.5" thickBot="1" x14ac:dyDescent="0.25">
      <c r="F83" s="70"/>
      <c r="G83" s="66"/>
      <c r="H83" s="71" t="s">
        <v>57</v>
      </c>
      <c r="I83" s="72"/>
      <c r="J83" s="72"/>
      <c r="K83" s="73"/>
      <c r="L83" s="74">
        <f t="shared" ref="L83:Q83" si="65">SUM(L80:L82)</f>
        <v>258</v>
      </c>
      <c r="M83" s="74">
        <f t="shared" si="65"/>
        <v>258</v>
      </c>
      <c r="N83" s="74">
        <f t="shared" si="65"/>
        <v>0</v>
      </c>
      <c r="O83" s="74">
        <f t="shared" si="65"/>
        <v>243.68</v>
      </c>
      <c r="P83" s="74">
        <f t="shared" si="65"/>
        <v>14</v>
      </c>
      <c r="Q83" s="74">
        <f t="shared" si="65"/>
        <v>257.68</v>
      </c>
      <c r="R83" s="75">
        <f>IFERROR(Q83/M83,"N/A")</f>
        <v>0.99875968992248065</v>
      </c>
      <c r="S83" s="76">
        <f>SUM(S80:S82)</f>
        <v>257.68</v>
      </c>
    </row>
    <row r="84" spans="1:19" ht="13.5" thickBot="1" x14ac:dyDescent="0.25">
      <c r="F84" s="43"/>
      <c r="G84" s="43"/>
      <c r="H84" s="43"/>
      <c r="I84" s="43"/>
      <c r="J84" s="43"/>
      <c r="K84" s="43"/>
    </row>
    <row r="85" spans="1:19" s="82" customFormat="1" x14ac:dyDescent="0.2">
      <c r="A85" s="59"/>
      <c r="B85" s="59"/>
      <c r="C85" s="77"/>
      <c r="D85" s="77"/>
      <c r="E85" s="86"/>
      <c r="F85" s="19" t="s">
        <v>58</v>
      </c>
      <c r="G85" s="18"/>
      <c r="H85" s="18"/>
      <c r="I85" s="18"/>
      <c r="J85" s="18"/>
      <c r="K85" s="17"/>
      <c r="L85" s="16"/>
      <c r="M85" s="16"/>
      <c r="N85" s="16"/>
      <c r="O85" s="16"/>
      <c r="P85" s="16"/>
      <c r="Q85" s="16"/>
      <c r="R85" s="15"/>
      <c r="S85" s="14"/>
    </row>
    <row r="86" spans="1:19" x14ac:dyDescent="0.2">
      <c r="F86" s="87" t="s">
        <v>144</v>
      </c>
      <c r="G86" s="80"/>
      <c r="H86" s="88"/>
      <c r="I86" s="88"/>
      <c r="J86" s="88"/>
      <c r="K86" s="80"/>
      <c r="L86" s="22"/>
      <c r="M86" s="22"/>
      <c r="N86" s="22"/>
      <c r="O86" s="22"/>
      <c r="P86" s="22"/>
      <c r="Q86" s="22"/>
      <c r="R86" s="21"/>
      <c r="S86" s="20"/>
    </row>
    <row r="87" spans="1:19" ht="33.75" x14ac:dyDescent="0.2">
      <c r="F87" s="67" t="s">
        <v>127</v>
      </c>
      <c r="G87" s="68"/>
      <c r="H87" s="69"/>
      <c r="I87" s="69"/>
      <c r="J87" s="69"/>
      <c r="K87" s="69"/>
      <c r="L87" s="51" t="s">
        <v>21</v>
      </c>
      <c r="M87" s="51" t="s">
        <v>22</v>
      </c>
      <c r="N87" s="51" t="s">
        <v>23</v>
      </c>
      <c r="O87" s="51" t="s">
        <v>24</v>
      </c>
      <c r="P87" s="51" t="s">
        <v>25</v>
      </c>
      <c r="Q87" s="51" t="s">
        <v>26</v>
      </c>
      <c r="R87" s="64" t="s">
        <v>27</v>
      </c>
      <c r="S87" s="65" t="s">
        <v>28</v>
      </c>
    </row>
    <row r="88" spans="1:19" x14ac:dyDescent="0.2">
      <c r="A88" s="59" t="str">
        <f t="shared" ref="A88:A89" si="66">$G$7</f>
        <v>WISE &amp; Healthy Aging</v>
      </c>
      <c r="B88" s="59" t="str">
        <f t="shared" ref="B88:B89" si="67">$G$8</f>
        <v>WISE Diner</v>
      </c>
      <c r="D88" s="59" t="s">
        <v>41</v>
      </c>
      <c r="E88" s="29" t="s">
        <v>58</v>
      </c>
      <c r="F88" s="233" t="s">
        <v>145</v>
      </c>
      <c r="G88" s="234"/>
      <c r="H88" s="46"/>
      <c r="I88" s="47"/>
      <c r="J88" s="47"/>
      <c r="K88" s="47"/>
      <c r="L88" s="237">
        <v>750</v>
      </c>
      <c r="M88" s="227">
        <v>750</v>
      </c>
      <c r="N88" s="227">
        <f t="shared" ref="N88:N89" si="68">L88-M88</f>
        <v>0</v>
      </c>
      <c r="O88" s="281">
        <v>636.29999999999995</v>
      </c>
      <c r="P88" s="281">
        <f>750-636</f>
        <v>114</v>
      </c>
      <c r="Q88" s="49">
        <f>SUM(O88:P88)</f>
        <v>750.3</v>
      </c>
      <c r="R88" s="48">
        <f>IFERROR(Q88/M88,"N/A")</f>
        <v>1.0004</v>
      </c>
      <c r="S88" s="286">
        <f t="shared" ref="S88" si="69">Q88</f>
        <v>750.3</v>
      </c>
    </row>
    <row r="89" spans="1:19" x14ac:dyDescent="0.2">
      <c r="A89" s="59" t="str">
        <f t="shared" si="66"/>
        <v>WISE &amp; Healthy Aging</v>
      </c>
      <c r="B89" s="59" t="str">
        <f t="shared" si="67"/>
        <v>WISE Diner</v>
      </c>
      <c r="D89" s="59" t="s">
        <v>41</v>
      </c>
      <c r="E89" s="29" t="s">
        <v>58</v>
      </c>
      <c r="F89" s="236"/>
      <c r="G89" s="234"/>
      <c r="H89" s="46"/>
      <c r="I89" s="47"/>
      <c r="J89" s="47"/>
      <c r="K89" s="47"/>
      <c r="L89" s="237">
        <v>0</v>
      </c>
      <c r="M89" s="227">
        <v>0</v>
      </c>
      <c r="N89" s="228">
        <f t="shared" si="68"/>
        <v>0</v>
      </c>
      <c r="O89" s="281">
        <v>0</v>
      </c>
      <c r="P89" s="287">
        <v>0</v>
      </c>
      <c r="Q89" s="45">
        <f t="shared" ref="Q89" si="70">SUM(O89:P89)</f>
        <v>0</v>
      </c>
      <c r="R89" s="44" t="str">
        <f t="shared" ref="R89" si="71">IFERROR(Q89/M89,"N/A")</f>
        <v>N/A</v>
      </c>
      <c r="S89" s="288">
        <v>0</v>
      </c>
    </row>
    <row r="90" spans="1:19" ht="13.5" thickBot="1" x14ac:dyDescent="0.25">
      <c r="F90" s="70"/>
      <c r="G90" s="66"/>
      <c r="H90" s="71" t="s">
        <v>59</v>
      </c>
      <c r="I90" s="72"/>
      <c r="J90" s="72"/>
      <c r="K90" s="73"/>
      <c r="L90" s="74">
        <f t="shared" ref="L90:Q90" si="72">SUM(L88:L89)</f>
        <v>750</v>
      </c>
      <c r="M90" s="74">
        <f t="shared" si="72"/>
        <v>750</v>
      </c>
      <c r="N90" s="74">
        <f t="shared" si="72"/>
        <v>0</v>
      </c>
      <c r="O90" s="74">
        <f t="shared" si="72"/>
        <v>636.29999999999995</v>
      </c>
      <c r="P90" s="74">
        <f t="shared" si="72"/>
        <v>114</v>
      </c>
      <c r="Q90" s="74">
        <f t="shared" si="72"/>
        <v>750.3</v>
      </c>
      <c r="R90" s="75">
        <f>IFERROR(Q90/M90,"N/A")</f>
        <v>1.0004</v>
      </c>
      <c r="S90" s="76">
        <f>SUM(S88:S89)</f>
        <v>750.3</v>
      </c>
    </row>
    <row r="91" spans="1:19" ht="13.5" thickBot="1" x14ac:dyDescent="0.25">
      <c r="F91" s="43"/>
      <c r="G91" s="43"/>
      <c r="H91" s="43"/>
      <c r="I91" s="43"/>
      <c r="J91" s="43"/>
      <c r="K91" s="43"/>
    </row>
    <row r="92" spans="1:19" s="82" customFormat="1" x14ac:dyDescent="0.2">
      <c r="A92" s="59"/>
      <c r="B92" s="59"/>
      <c r="C92" s="77"/>
      <c r="D92" s="77"/>
      <c r="E92" s="86"/>
      <c r="F92" s="23" t="s">
        <v>60</v>
      </c>
      <c r="G92" s="18"/>
      <c r="H92" s="18"/>
      <c r="I92" s="18"/>
      <c r="J92" s="18"/>
      <c r="K92" s="17"/>
      <c r="L92" s="16"/>
      <c r="M92" s="16"/>
      <c r="N92" s="16"/>
      <c r="O92" s="16"/>
      <c r="P92" s="16"/>
      <c r="Q92" s="16"/>
      <c r="R92" s="15"/>
      <c r="S92" s="14"/>
    </row>
    <row r="93" spans="1:19" x14ac:dyDescent="0.2">
      <c r="F93" s="78" t="s">
        <v>61</v>
      </c>
      <c r="G93" s="88"/>
      <c r="H93" s="88"/>
      <c r="I93" s="88"/>
      <c r="J93" s="88"/>
      <c r="K93" s="80"/>
      <c r="L93" s="22"/>
      <c r="M93" s="22"/>
      <c r="N93" s="22"/>
      <c r="O93" s="22"/>
      <c r="P93" s="22"/>
      <c r="Q93" s="22"/>
      <c r="R93" s="21"/>
      <c r="S93" s="20"/>
    </row>
    <row r="94" spans="1:19" ht="33.75" x14ac:dyDescent="0.2">
      <c r="F94" s="67" t="s">
        <v>127</v>
      </c>
      <c r="G94" s="68"/>
      <c r="H94" s="69"/>
      <c r="I94" s="69"/>
      <c r="J94" s="69"/>
      <c r="K94" s="69"/>
      <c r="L94" s="51" t="s">
        <v>21</v>
      </c>
      <c r="M94" s="51" t="s">
        <v>22</v>
      </c>
      <c r="N94" s="51" t="s">
        <v>23</v>
      </c>
      <c r="O94" s="51" t="s">
        <v>24</v>
      </c>
      <c r="P94" s="51" t="s">
        <v>25</v>
      </c>
      <c r="Q94" s="51" t="s">
        <v>26</v>
      </c>
      <c r="R94" s="64" t="s">
        <v>27</v>
      </c>
      <c r="S94" s="65" t="s">
        <v>28</v>
      </c>
    </row>
    <row r="95" spans="1:19" x14ac:dyDescent="0.2">
      <c r="A95" s="59" t="str">
        <f t="shared" ref="A95:A106" si="73">$G$7</f>
        <v>WISE &amp; Healthy Aging</v>
      </c>
      <c r="B95" s="59" t="str">
        <f t="shared" ref="B95:B106" si="74">$G$8</f>
        <v>WISE Diner</v>
      </c>
      <c r="D95" s="59" t="s">
        <v>41</v>
      </c>
      <c r="E95" s="29" t="s">
        <v>60</v>
      </c>
      <c r="F95" s="233" t="s">
        <v>146</v>
      </c>
      <c r="G95" s="234"/>
      <c r="H95" s="46"/>
      <c r="I95" s="47"/>
      <c r="J95" s="47"/>
      <c r="K95" s="47"/>
      <c r="L95" s="237">
        <v>500</v>
      </c>
      <c r="M95" s="227">
        <v>500</v>
      </c>
      <c r="N95" s="227">
        <f t="shared" ref="N95:N106" si="75">L95-M95</f>
        <v>0</v>
      </c>
      <c r="O95" s="281">
        <v>82.68</v>
      </c>
      <c r="P95" s="281">
        <f>576-83</f>
        <v>493</v>
      </c>
      <c r="Q95" s="49">
        <f>SUM(O95:P95)</f>
        <v>575.68000000000006</v>
      </c>
      <c r="R95" s="48">
        <f>IFERROR(Q95/M95,"N/A")</f>
        <v>1.1513600000000002</v>
      </c>
      <c r="S95" s="286">
        <f t="shared" ref="S95:S106" si="76">Q95</f>
        <v>575.68000000000006</v>
      </c>
    </row>
    <row r="96" spans="1:19" x14ac:dyDescent="0.2">
      <c r="A96" s="59" t="str">
        <f t="shared" si="73"/>
        <v>WISE &amp; Healthy Aging</v>
      </c>
      <c r="B96" s="59" t="str">
        <f t="shared" si="74"/>
        <v>WISE Diner</v>
      </c>
      <c r="D96" s="59" t="s">
        <v>41</v>
      </c>
      <c r="E96" s="29" t="s">
        <v>60</v>
      </c>
      <c r="F96" s="236" t="s">
        <v>147</v>
      </c>
      <c r="G96" s="234"/>
      <c r="H96" s="46"/>
      <c r="I96" s="47"/>
      <c r="J96" s="47"/>
      <c r="K96" s="47"/>
      <c r="L96" s="237">
        <v>7688</v>
      </c>
      <c r="M96" s="227">
        <v>7688</v>
      </c>
      <c r="N96" s="228">
        <f t="shared" si="75"/>
        <v>0</v>
      </c>
      <c r="O96" s="281">
        <v>243.91</v>
      </c>
      <c r="P96" s="287">
        <f>9445-244+778.47</f>
        <v>9979.4699999999993</v>
      </c>
      <c r="Q96" s="45">
        <f>SUM(O96:P96)</f>
        <v>10223.379999999999</v>
      </c>
      <c r="R96" s="44">
        <f>IFERROR(Q96/M96,"N/A")</f>
        <v>1.3297840790842872</v>
      </c>
      <c r="S96" s="288">
        <f t="shared" si="76"/>
        <v>10223.379999999999</v>
      </c>
    </row>
    <row r="97" spans="1:19" x14ac:dyDescent="0.2">
      <c r="A97" s="59" t="str">
        <f t="shared" si="73"/>
        <v>WISE &amp; Healthy Aging</v>
      </c>
      <c r="B97" s="59" t="str">
        <f t="shared" si="74"/>
        <v>WISE Diner</v>
      </c>
      <c r="D97" s="59" t="s">
        <v>41</v>
      </c>
      <c r="E97" s="29" t="s">
        <v>60</v>
      </c>
      <c r="F97" s="236" t="s">
        <v>148</v>
      </c>
      <c r="G97" s="234"/>
      <c r="H97" s="46"/>
      <c r="I97" s="47"/>
      <c r="J97" s="47"/>
      <c r="K97" s="47"/>
      <c r="L97" s="237">
        <v>948</v>
      </c>
      <c r="M97" s="227">
        <v>948</v>
      </c>
      <c r="N97" s="227">
        <f t="shared" si="75"/>
        <v>0</v>
      </c>
      <c r="O97" s="281">
        <v>727.27</v>
      </c>
      <c r="P97" s="281">
        <f>1084-727</f>
        <v>357</v>
      </c>
      <c r="Q97" s="49">
        <f t="shared" ref="Q97:Q106" si="77">SUM(O97:P97)</f>
        <v>1084.27</v>
      </c>
      <c r="R97" s="48">
        <f t="shared" ref="R97:R106" si="78">IFERROR(Q97/M97,"N/A")</f>
        <v>1.1437447257383966</v>
      </c>
      <c r="S97" s="286">
        <f t="shared" si="76"/>
        <v>1084.27</v>
      </c>
    </row>
    <row r="98" spans="1:19" x14ac:dyDescent="0.2">
      <c r="A98" s="59" t="str">
        <f t="shared" si="73"/>
        <v>WISE &amp; Healthy Aging</v>
      </c>
      <c r="B98" s="59" t="str">
        <f t="shared" si="74"/>
        <v>WISE Diner</v>
      </c>
      <c r="D98" s="59" t="s">
        <v>41</v>
      </c>
      <c r="E98" s="29" t="s">
        <v>60</v>
      </c>
      <c r="F98" s="236" t="s">
        <v>149</v>
      </c>
      <c r="G98" s="234"/>
      <c r="H98" s="46"/>
      <c r="I98" s="47"/>
      <c r="J98" s="47"/>
      <c r="K98" s="47"/>
      <c r="L98" s="237">
        <v>132</v>
      </c>
      <c r="M98" s="227">
        <v>132</v>
      </c>
      <c r="N98" s="227">
        <f t="shared" si="75"/>
        <v>0</v>
      </c>
      <c r="O98" s="281">
        <v>0.8</v>
      </c>
      <c r="P98" s="281">
        <v>132</v>
      </c>
      <c r="Q98" s="49">
        <f t="shared" si="77"/>
        <v>132.80000000000001</v>
      </c>
      <c r="R98" s="48">
        <f t="shared" si="78"/>
        <v>1.0060606060606061</v>
      </c>
      <c r="S98" s="286">
        <f t="shared" si="76"/>
        <v>132.80000000000001</v>
      </c>
    </row>
    <row r="99" spans="1:19" x14ac:dyDescent="0.2">
      <c r="A99" s="59" t="str">
        <f t="shared" si="73"/>
        <v>WISE &amp; Healthy Aging</v>
      </c>
      <c r="B99" s="59" t="str">
        <f t="shared" si="74"/>
        <v>WISE Diner</v>
      </c>
      <c r="D99" s="59" t="s">
        <v>41</v>
      </c>
      <c r="E99" s="29" t="s">
        <v>60</v>
      </c>
      <c r="F99" s="236" t="s">
        <v>150</v>
      </c>
      <c r="G99" s="234"/>
      <c r="H99" s="46"/>
      <c r="I99" s="47"/>
      <c r="J99" s="47"/>
      <c r="K99" s="47"/>
      <c r="L99" s="237">
        <v>402</v>
      </c>
      <c r="M99" s="227">
        <v>402</v>
      </c>
      <c r="N99" s="227">
        <f t="shared" si="75"/>
        <v>0</v>
      </c>
      <c r="O99" s="281">
        <f>27.84+481</f>
        <v>508.84</v>
      </c>
      <c r="P99" s="281">
        <f>557-509</f>
        <v>48</v>
      </c>
      <c r="Q99" s="49">
        <f t="shared" si="77"/>
        <v>556.83999999999992</v>
      </c>
      <c r="R99" s="48">
        <f t="shared" si="78"/>
        <v>1.3851741293532336</v>
      </c>
      <c r="S99" s="286">
        <f t="shared" si="76"/>
        <v>556.83999999999992</v>
      </c>
    </row>
    <row r="100" spans="1:19" x14ac:dyDescent="0.2">
      <c r="A100" s="59" t="str">
        <f t="shared" si="73"/>
        <v>WISE &amp; Healthy Aging</v>
      </c>
      <c r="B100" s="59" t="str">
        <f t="shared" si="74"/>
        <v>WISE Diner</v>
      </c>
      <c r="D100" s="59" t="s">
        <v>41</v>
      </c>
      <c r="E100" s="29" t="s">
        <v>60</v>
      </c>
      <c r="F100" s="236" t="s">
        <v>151</v>
      </c>
      <c r="G100" s="234"/>
      <c r="H100" s="46"/>
      <c r="I100" s="47"/>
      <c r="J100" s="47"/>
      <c r="K100" s="47"/>
      <c r="L100" s="237">
        <v>1433</v>
      </c>
      <c r="M100" s="237">
        <v>1433</v>
      </c>
      <c r="N100" s="237">
        <f t="shared" si="75"/>
        <v>0</v>
      </c>
      <c r="O100" s="289">
        <v>0</v>
      </c>
      <c r="P100" s="289">
        <v>0</v>
      </c>
      <c r="Q100" s="45">
        <f t="shared" si="77"/>
        <v>0</v>
      </c>
      <c r="R100" s="44">
        <f t="shared" si="78"/>
        <v>0</v>
      </c>
      <c r="S100" s="288">
        <f t="shared" si="76"/>
        <v>0</v>
      </c>
    </row>
    <row r="101" spans="1:19" x14ac:dyDescent="0.2">
      <c r="A101" s="59" t="str">
        <f t="shared" si="73"/>
        <v>WISE &amp; Healthy Aging</v>
      </c>
      <c r="B101" s="59" t="str">
        <f t="shared" si="74"/>
        <v>WISE Diner</v>
      </c>
      <c r="D101" s="59" t="s">
        <v>41</v>
      </c>
      <c r="E101" s="29" t="s">
        <v>60</v>
      </c>
      <c r="F101" s="236" t="s">
        <v>152</v>
      </c>
      <c r="G101" s="234"/>
      <c r="H101" s="46"/>
      <c r="I101" s="47"/>
      <c r="J101" s="47"/>
      <c r="K101" s="47"/>
      <c r="L101" s="237">
        <v>1500</v>
      </c>
      <c r="M101" s="237">
        <v>1500</v>
      </c>
      <c r="N101" s="237">
        <f t="shared" si="75"/>
        <v>0</v>
      </c>
      <c r="O101" s="289">
        <v>0</v>
      </c>
      <c r="P101" s="289">
        <v>0</v>
      </c>
      <c r="Q101" s="45">
        <f t="shared" si="77"/>
        <v>0</v>
      </c>
      <c r="R101" s="44">
        <f t="shared" si="78"/>
        <v>0</v>
      </c>
      <c r="S101" s="288">
        <f t="shared" si="76"/>
        <v>0</v>
      </c>
    </row>
    <row r="102" spans="1:19" x14ac:dyDescent="0.2">
      <c r="A102" s="59" t="str">
        <f t="shared" si="73"/>
        <v>WISE &amp; Healthy Aging</v>
      </c>
      <c r="B102" s="59" t="str">
        <f t="shared" si="74"/>
        <v>WISE Diner</v>
      </c>
      <c r="D102" s="59" t="s">
        <v>41</v>
      </c>
      <c r="E102" s="29" t="s">
        <v>60</v>
      </c>
      <c r="F102" s="236" t="s">
        <v>153</v>
      </c>
      <c r="G102" s="234"/>
      <c r="H102" s="46"/>
      <c r="I102" s="47"/>
      <c r="J102" s="47"/>
      <c r="K102" s="47"/>
      <c r="L102" s="237">
        <v>250</v>
      </c>
      <c r="M102" s="237">
        <v>250</v>
      </c>
      <c r="N102" s="237">
        <f t="shared" si="75"/>
        <v>0</v>
      </c>
      <c r="O102" s="289">
        <v>682</v>
      </c>
      <c r="P102" s="289">
        <f>802-682</f>
        <v>120</v>
      </c>
      <c r="Q102" s="45">
        <f t="shared" si="77"/>
        <v>802</v>
      </c>
      <c r="R102" s="44">
        <f t="shared" si="78"/>
        <v>3.2080000000000002</v>
      </c>
      <c r="S102" s="288">
        <f t="shared" si="76"/>
        <v>802</v>
      </c>
    </row>
    <row r="103" spans="1:19" x14ac:dyDescent="0.2">
      <c r="A103" s="59" t="str">
        <f t="shared" si="73"/>
        <v>WISE &amp; Healthy Aging</v>
      </c>
      <c r="B103" s="59" t="str">
        <f t="shared" si="74"/>
        <v>WISE Diner</v>
      </c>
      <c r="D103" s="59" t="s">
        <v>41</v>
      </c>
      <c r="E103" s="29" t="s">
        <v>60</v>
      </c>
      <c r="F103" s="236" t="s">
        <v>154</v>
      </c>
      <c r="G103" s="234"/>
      <c r="H103" s="46"/>
      <c r="I103" s="47"/>
      <c r="J103" s="47"/>
      <c r="K103" s="47"/>
      <c r="L103" s="237">
        <v>500</v>
      </c>
      <c r="M103" s="237">
        <v>500</v>
      </c>
      <c r="N103" s="237">
        <f t="shared" si="75"/>
        <v>0</v>
      </c>
      <c r="O103" s="289">
        <v>0</v>
      </c>
      <c r="P103" s="289">
        <v>0</v>
      </c>
      <c r="Q103" s="45">
        <f t="shared" si="77"/>
        <v>0</v>
      </c>
      <c r="R103" s="44">
        <f t="shared" si="78"/>
        <v>0</v>
      </c>
      <c r="S103" s="288">
        <f t="shared" si="76"/>
        <v>0</v>
      </c>
    </row>
    <row r="104" spans="1:19" x14ac:dyDescent="0.2">
      <c r="A104" s="59" t="str">
        <f t="shared" si="73"/>
        <v>WISE &amp; Healthy Aging</v>
      </c>
      <c r="B104" s="59" t="str">
        <f t="shared" si="74"/>
        <v>WISE Diner</v>
      </c>
      <c r="D104" s="59" t="s">
        <v>41</v>
      </c>
      <c r="E104" s="29" t="s">
        <v>60</v>
      </c>
      <c r="F104" s="236" t="s">
        <v>155</v>
      </c>
      <c r="G104" s="234"/>
      <c r="H104" s="46"/>
      <c r="I104" s="47"/>
      <c r="J104" s="47"/>
      <c r="K104" s="47"/>
      <c r="L104" s="237">
        <v>990</v>
      </c>
      <c r="M104" s="237">
        <v>990</v>
      </c>
      <c r="N104" s="237">
        <f t="shared" si="75"/>
        <v>0</v>
      </c>
      <c r="O104" s="289">
        <v>0</v>
      </c>
      <c r="P104" s="289">
        <v>74</v>
      </c>
      <c r="Q104" s="45">
        <f t="shared" si="77"/>
        <v>74</v>
      </c>
      <c r="R104" s="44">
        <f t="shared" si="78"/>
        <v>7.4747474747474743E-2</v>
      </c>
      <c r="S104" s="288">
        <f t="shared" si="76"/>
        <v>74</v>
      </c>
    </row>
    <row r="105" spans="1:19" x14ac:dyDescent="0.2">
      <c r="A105" s="59" t="str">
        <f t="shared" si="73"/>
        <v>WISE &amp; Healthy Aging</v>
      </c>
      <c r="B105" s="59" t="str">
        <f t="shared" si="74"/>
        <v>WISE Diner</v>
      </c>
      <c r="D105" s="59" t="s">
        <v>41</v>
      </c>
      <c r="E105" s="29" t="s">
        <v>60</v>
      </c>
      <c r="F105" s="236" t="s">
        <v>156</v>
      </c>
      <c r="G105" s="234"/>
      <c r="H105" s="46"/>
      <c r="I105" s="47"/>
      <c r="J105" s="47"/>
      <c r="K105" s="47"/>
      <c r="L105" s="237">
        <v>800</v>
      </c>
      <c r="M105" s="237">
        <v>800</v>
      </c>
      <c r="N105" s="237">
        <f t="shared" si="75"/>
        <v>0</v>
      </c>
      <c r="O105" s="289">
        <v>0</v>
      </c>
      <c r="P105" s="289">
        <f>341</f>
        <v>341</v>
      </c>
      <c r="Q105" s="45">
        <f t="shared" si="77"/>
        <v>341</v>
      </c>
      <c r="R105" s="44">
        <f t="shared" si="78"/>
        <v>0.42625000000000002</v>
      </c>
      <c r="S105" s="288">
        <f t="shared" si="76"/>
        <v>341</v>
      </c>
    </row>
    <row r="106" spans="1:19" x14ac:dyDescent="0.2">
      <c r="A106" s="59" t="str">
        <f t="shared" si="73"/>
        <v>WISE &amp; Healthy Aging</v>
      </c>
      <c r="B106" s="59" t="str">
        <f t="shared" si="74"/>
        <v>WISE Diner</v>
      </c>
      <c r="D106" s="59" t="s">
        <v>41</v>
      </c>
      <c r="E106" s="29" t="s">
        <v>60</v>
      </c>
      <c r="F106" s="236"/>
      <c r="G106" s="234"/>
      <c r="H106" s="46"/>
      <c r="I106" s="47"/>
      <c r="J106" s="47"/>
      <c r="K106" s="47"/>
      <c r="L106" s="237">
        <v>0</v>
      </c>
      <c r="M106" s="227">
        <v>0</v>
      </c>
      <c r="N106" s="227">
        <f t="shared" si="75"/>
        <v>0</v>
      </c>
      <c r="O106" s="281">
        <v>0</v>
      </c>
      <c r="P106" s="281">
        <v>0</v>
      </c>
      <c r="Q106" s="49">
        <f t="shared" si="77"/>
        <v>0</v>
      </c>
      <c r="R106" s="48" t="str">
        <f t="shared" si="78"/>
        <v>N/A</v>
      </c>
      <c r="S106" s="286">
        <f t="shared" si="76"/>
        <v>0</v>
      </c>
    </row>
    <row r="107" spans="1:19" ht="13.5" thickBot="1" x14ac:dyDescent="0.25">
      <c r="F107" s="70"/>
      <c r="G107" s="66"/>
      <c r="H107" s="71" t="s">
        <v>62</v>
      </c>
      <c r="I107" s="72"/>
      <c r="J107" s="72"/>
      <c r="K107" s="73"/>
      <c r="L107" s="74">
        <f t="shared" ref="L107:Q107" si="79">SUM(L95:L106)</f>
        <v>15143</v>
      </c>
      <c r="M107" s="74">
        <f t="shared" si="79"/>
        <v>15143</v>
      </c>
      <c r="N107" s="74">
        <f t="shared" si="79"/>
        <v>0</v>
      </c>
      <c r="O107" s="74">
        <f t="shared" si="79"/>
        <v>2245.5</v>
      </c>
      <c r="P107" s="74">
        <f t="shared" si="79"/>
        <v>11544.47</v>
      </c>
      <c r="Q107" s="74">
        <f t="shared" si="79"/>
        <v>13789.97</v>
      </c>
      <c r="R107" s="75">
        <f>IFERROR(Q107/M107,"N/A")</f>
        <v>0.91064980519051708</v>
      </c>
      <c r="S107" s="76">
        <f>SUM(S95:S106)</f>
        <v>13789.97</v>
      </c>
    </row>
    <row r="108" spans="1:19" ht="13.5" thickBot="1" x14ac:dyDescent="0.25">
      <c r="F108" s="43"/>
      <c r="G108" s="43"/>
      <c r="H108" s="43"/>
      <c r="I108" s="43"/>
      <c r="J108" s="43"/>
      <c r="K108" s="43"/>
    </row>
    <row r="109" spans="1:19" s="82" customFormat="1" x14ac:dyDescent="0.2">
      <c r="A109" s="77"/>
      <c r="B109" s="77"/>
      <c r="C109" s="77"/>
      <c r="D109" s="77"/>
      <c r="E109" s="86"/>
      <c r="F109" s="19" t="s">
        <v>63</v>
      </c>
      <c r="G109" s="18"/>
      <c r="H109" s="18"/>
      <c r="I109" s="18"/>
      <c r="J109" s="18"/>
      <c r="K109" s="17"/>
      <c r="L109" s="16"/>
      <c r="M109" s="16"/>
      <c r="N109" s="16"/>
      <c r="O109" s="16"/>
      <c r="P109" s="16"/>
      <c r="Q109" s="16"/>
      <c r="R109" s="15"/>
      <c r="S109" s="14"/>
    </row>
    <row r="110" spans="1:19" x14ac:dyDescent="0.2">
      <c r="F110" s="87" t="s">
        <v>157</v>
      </c>
      <c r="G110" s="88"/>
      <c r="H110" s="88"/>
      <c r="I110" s="88"/>
      <c r="J110" s="88"/>
      <c r="K110" s="80"/>
      <c r="L110" s="22"/>
      <c r="M110" s="22"/>
      <c r="N110" s="22"/>
      <c r="O110" s="22"/>
      <c r="P110" s="22"/>
      <c r="Q110" s="22"/>
      <c r="R110" s="21"/>
      <c r="S110" s="20"/>
    </row>
    <row r="111" spans="1:19" ht="33.75" x14ac:dyDescent="0.2">
      <c r="F111" s="67" t="s">
        <v>127</v>
      </c>
      <c r="G111" s="68"/>
      <c r="H111" s="69"/>
      <c r="I111" s="69"/>
      <c r="J111" s="69"/>
      <c r="K111" s="69"/>
      <c r="L111" s="51" t="s">
        <v>21</v>
      </c>
      <c r="M111" s="51" t="s">
        <v>22</v>
      </c>
      <c r="N111" s="51" t="s">
        <v>23</v>
      </c>
      <c r="O111" s="51" t="s">
        <v>24</v>
      </c>
      <c r="P111" s="51" t="s">
        <v>25</v>
      </c>
      <c r="Q111" s="51" t="s">
        <v>26</v>
      </c>
      <c r="R111" s="64" t="s">
        <v>27</v>
      </c>
      <c r="S111" s="65" t="s">
        <v>28</v>
      </c>
    </row>
    <row r="112" spans="1:19" x14ac:dyDescent="0.2">
      <c r="A112" s="59" t="str">
        <f t="shared" ref="A112:A113" si="80">$G$7</f>
        <v>WISE &amp; Healthy Aging</v>
      </c>
      <c r="B112" s="59" t="str">
        <f t="shared" ref="B112:B113" si="81">$G$8</f>
        <v>WISE Diner</v>
      </c>
      <c r="D112" s="59" t="s">
        <v>41</v>
      </c>
      <c r="E112" s="29" t="s">
        <v>63</v>
      </c>
      <c r="F112" s="233"/>
      <c r="G112" s="234"/>
      <c r="H112" s="46"/>
      <c r="I112" s="47"/>
      <c r="J112" s="47"/>
      <c r="K112" s="47"/>
      <c r="L112" s="227">
        <v>0</v>
      </c>
      <c r="M112" s="227">
        <v>0</v>
      </c>
      <c r="N112" s="227">
        <f t="shared" ref="N112:N113" si="82">L112-M112</f>
        <v>0</v>
      </c>
      <c r="O112" s="281">
        <v>0</v>
      </c>
      <c r="P112" s="281">
        <v>0</v>
      </c>
      <c r="Q112" s="49">
        <f>SUM(O112:P112)</f>
        <v>0</v>
      </c>
      <c r="R112" s="48" t="str">
        <f>IFERROR(Q112/M112,"N/A")</f>
        <v>N/A</v>
      </c>
      <c r="S112" s="286">
        <f t="shared" ref="S112:S113" si="83">Q112</f>
        <v>0</v>
      </c>
    </row>
    <row r="113" spans="1:19" x14ac:dyDescent="0.2">
      <c r="A113" s="59" t="str">
        <f t="shared" si="80"/>
        <v>WISE &amp; Healthy Aging</v>
      </c>
      <c r="B113" s="59" t="str">
        <f t="shared" si="81"/>
        <v>WISE Diner</v>
      </c>
      <c r="D113" s="59" t="s">
        <v>41</v>
      </c>
      <c r="E113" s="29" t="s">
        <v>63</v>
      </c>
      <c r="F113" s="236"/>
      <c r="G113" s="234"/>
      <c r="H113" s="46"/>
      <c r="I113" s="47"/>
      <c r="J113" s="47"/>
      <c r="K113" s="47"/>
      <c r="L113" s="227">
        <v>0</v>
      </c>
      <c r="M113" s="227">
        <v>0</v>
      </c>
      <c r="N113" s="227">
        <f t="shared" si="82"/>
        <v>0</v>
      </c>
      <c r="O113" s="281">
        <v>0</v>
      </c>
      <c r="P113" s="281">
        <v>0</v>
      </c>
      <c r="Q113" s="49">
        <f t="shared" ref="Q113" si="84">SUM(O113:P113)</f>
        <v>0</v>
      </c>
      <c r="R113" s="48" t="str">
        <f t="shared" ref="R113" si="85">IFERROR(Q113/M113,"N/A")</f>
        <v>N/A</v>
      </c>
      <c r="S113" s="286">
        <f t="shared" si="83"/>
        <v>0</v>
      </c>
    </row>
    <row r="114" spans="1:19" ht="13.5" thickBot="1" x14ac:dyDescent="0.25">
      <c r="F114" s="70"/>
      <c r="G114" s="66"/>
      <c r="H114" s="71" t="s">
        <v>64</v>
      </c>
      <c r="I114" s="72"/>
      <c r="J114" s="72"/>
      <c r="K114" s="73"/>
      <c r="L114" s="74">
        <f t="shared" ref="L114:Q114" si="86">SUM(L112:L113)</f>
        <v>0</v>
      </c>
      <c r="M114" s="74">
        <f t="shared" si="86"/>
        <v>0</v>
      </c>
      <c r="N114" s="74">
        <f t="shared" si="86"/>
        <v>0</v>
      </c>
      <c r="O114" s="74">
        <f t="shared" si="86"/>
        <v>0</v>
      </c>
      <c r="P114" s="74">
        <f t="shared" si="86"/>
        <v>0</v>
      </c>
      <c r="Q114" s="74">
        <f t="shared" si="86"/>
        <v>0</v>
      </c>
      <c r="R114" s="75" t="str">
        <f>IFERROR(Q114/M114,"N/A")</f>
        <v>N/A</v>
      </c>
      <c r="S114" s="76">
        <f>SUM(S112:S113)</f>
        <v>0</v>
      </c>
    </row>
    <row r="115" spans="1:19" ht="13.5" thickBot="1" x14ac:dyDescent="0.25">
      <c r="F115" s="43"/>
      <c r="G115" s="43"/>
      <c r="H115" s="43"/>
      <c r="I115" s="43"/>
      <c r="J115" s="43"/>
      <c r="K115" s="43"/>
    </row>
    <row r="116" spans="1:19" s="82" customFormat="1" x14ac:dyDescent="0.2">
      <c r="F116" s="19" t="s">
        <v>65</v>
      </c>
      <c r="G116" s="18"/>
      <c r="H116" s="18"/>
      <c r="I116" s="18"/>
      <c r="J116" s="18"/>
      <c r="K116" s="17"/>
      <c r="L116" s="16"/>
      <c r="M116" s="16"/>
      <c r="N116" s="16"/>
      <c r="O116" s="16"/>
      <c r="P116" s="16"/>
      <c r="Q116" s="16"/>
      <c r="R116" s="15"/>
      <c r="S116" s="14"/>
    </row>
    <row r="117" spans="1:19" x14ac:dyDescent="0.2">
      <c r="F117" s="87" t="s">
        <v>66</v>
      </c>
      <c r="G117" s="88"/>
      <c r="H117" s="88"/>
      <c r="I117" s="88"/>
      <c r="J117" s="88"/>
      <c r="K117" s="80"/>
      <c r="L117" s="22"/>
      <c r="M117" s="22"/>
      <c r="N117" s="22"/>
      <c r="O117" s="22"/>
      <c r="P117" s="22"/>
      <c r="Q117" s="22"/>
      <c r="R117" s="21"/>
      <c r="S117" s="20"/>
    </row>
    <row r="118" spans="1:19" ht="33.75" x14ac:dyDescent="0.2">
      <c r="F118" s="67" t="s">
        <v>127</v>
      </c>
      <c r="G118" s="68"/>
      <c r="H118" s="69"/>
      <c r="I118" s="69"/>
      <c r="J118" s="69"/>
      <c r="K118" s="69"/>
      <c r="L118" s="51" t="s">
        <v>21</v>
      </c>
      <c r="M118" s="51" t="s">
        <v>22</v>
      </c>
      <c r="N118" s="51" t="s">
        <v>23</v>
      </c>
      <c r="O118" s="51" t="s">
        <v>24</v>
      </c>
      <c r="P118" s="51" t="s">
        <v>25</v>
      </c>
      <c r="Q118" s="51" t="s">
        <v>26</v>
      </c>
      <c r="R118" s="64" t="s">
        <v>27</v>
      </c>
      <c r="S118" s="65" t="s">
        <v>28</v>
      </c>
    </row>
    <row r="119" spans="1:19" x14ac:dyDescent="0.2">
      <c r="A119" s="59" t="str">
        <f t="shared" ref="A119:A120" si="87">$G$7</f>
        <v>WISE &amp; Healthy Aging</v>
      </c>
      <c r="B119" s="59" t="str">
        <f t="shared" ref="B119:B120" si="88">$G$8</f>
        <v>WISE Diner</v>
      </c>
      <c r="D119" s="59" t="s">
        <v>41</v>
      </c>
      <c r="E119" s="29" t="s">
        <v>65</v>
      </c>
      <c r="F119" s="233"/>
      <c r="G119" s="234"/>
      <c r="H119" s="46"/>
      <c r="I119" s="47"/>
      <c r="J119" s="47"/>
      <c r="K119" s="47"/>
      <c r="L119" s="227">
        <v>0</v>
      </c>
      <c r="M119" s="227">
        <v>0</v>
      </c>
      <c r="N119" s="227">
        <f t="shared" ref="N119:N120" si="89">L119-M119</f>
        <v>0</v>
      </c>
      <c r="O119" s="281">
        <v>0</v>
      </c>
      <c r="P119" s="281">
        <v>0</v>
      </c>
      <c r="Q119" s="49">
        <f>SUM(O119:P119)</f>
        <v>0</v>
      </c>
      <c r="R119" s="48" t="str">
        <f>IFERROR(Q119/M119,"N/A")</f>
        <v>N/A</v>
      </c>
      <c r="S119" s="286">
        <f t="shared" ref="S119:S120" si="90">Q119</f>
        <v>0</v>
      </c>
    </row>
    <row r="120" spans="1:19" x14ac:dyDescent="0.2">
      <c r="A120" s="59" t="str">
        <f t="shared" si="87"/>
        <v>WISE &amp; Healthy Aging</v>
      </c>
      <c r="B120" s="59" t="str">
        <f t="shared" si="88"/>
        <v>WISE Diner</v>
      </c>
      <c r="D120" s="59" t="s">
        <v>41</v>
      </c>
      <c r="E120" s="29" t="s">
        <v>65</v>
      </c>
      <c r="F120" s="236"/>
      <c r="G120" s="234"/>
      <c r="H120" s="46"/>
      <c r="I120" s="47"/>
      <c r="J120" s="47"/>
      <c r="K120" s="47"/>
      <c r="L120" s="227">
        <v>0</v>
      </c>
      <c r="M120" s="227">
        <v>0</v>
      </c>
      <c r="N120" s="227">
        <f t="shared" si="89"/>
        <v>0</v>
      </c>
      <c r="O120" s="281">
        <v>0</v>
      </c>
      <c r="P120" s="281">
        <v>0</v>
      </c>
      <c r="Q120" s="49">
        <f t="shared" ref="Q120" si="91">SUM(O120:P120)</f>
        <v>0</v>
      </c>
      <c r="R120" s="48" t="str">
        <f t="shared" ref="R120" si="92">IFERROR(Q120/M120,"N/A")</f>
        <v>N/A</v>
      </c>
      <c r="S120" s="286">
        <f t="shared" si="90"/>
        <v>0</v>
      </c>
    </row>
    <row r="121" spans="1:19" ht="13.5" thickBot="1" x14ac:dyDescent="0.25">
      <c r="F121" s="70"/>
      <c r="G121" s="66"/>
      <c r="H121" s="71" t="s">
        <v>67</v>
      </c>
      <c r="I121" s="72"/>
      <c r="J121" s="72"/>
      <c r="K121" s="73"/>
      <c r="L121" s="74">
        <f t="shared" ref="L121:Q121" si="93">SUM(L119:L120)</f>
        <v>0</v>
      </c>
      <c r="M121" s="74">
        <f t="shared" si="93"/>
        <v>0</v>
      </c>
      <c r="N121" s="74">
        <f t="shared" si="93"/>
        <v>0</v>
      </c>
      <c r="O121" s="74">
        <f t="shared" si="93"/>
        <v>0</v>
      </c>
      <c r="P121" s="74">
        <f t="shared" si="93"/>
        <v>0</v>
      </c>
      <c r="Q121" s="74">
        <f t="shared" si="93"/>
        <v>0</v>
      </c>
      <c r="R121" s="75" t="str">
        <f>IFERROR(Q121/M121,"N/A")</f>
        <v>N/A</v>
      </c>
      <c r="S121" s="76">
        <f>SUM(S119:S120)</f>
        <v>0</v>
      </c>
    </row>
    <row r="122" spans="1:19" ht="13.5" thickBot="1" x14ac:dyDescent="0.25">
      <c r="F122" s="43"/>
      <c r="G122" s="43"/>
      <c r="H122" s="43"/>
      <c r="I122" s="43"/>
      <c r="J122" s="43"/>
      <c r="K122" s="43"/>
    </row>
    <row r="123" spans="1:19" s="82" customFormat="1" x14ac:dyDescent="0.2">
      <c r="A123" s="77"/>
      <c r="B123" s="77"/>
      <c r="C123" s="77"/>
      <c r="D123" s="77"/>
      <c r="E123" s="86"/>
      <c r="F123" s="19" t="s">
        <v>68</v>
      </c>
      <c r="G123" s="18"/>
      <c r="H123" s="18"/>
      <c r="I123" s="18"/>
      <c r="J123" s="18"/>
      <c r="K123" s="17"/>
      <c r="L123" s="16"/>
      <c r="M123" s="16"/>
      <c r="N123" s="16"/>
      <c r="O123" s="16"/>
      <c r="P123" s="16"/>
      <c r="Q123" s="16"/>
      <c r="R123" s="15"/>
      <c r="S123" s="14"/>
    </row>
    <row r="124" spans="1:19" s="82" customFormat="1" ht="11.25" x14ac:dyDescent="0.2">
      <c r="A124" s="77"/>
      <c r="B124" s="77"/>
      <c r="C124" s="77"/>
      <c r="D124" s="77"/>
      <c r="E124" s="86"/>
      <c r="F124" s="87" t="s">
        <v>158</v>
      </c>
      <c r="G124" s="79"/>
      <c r="H124" s="79"/>
      <c r="I124" s="79"/>
      <c r="J124" s="79"/>
      <c r="K124" s="80"/>
      <c r="L124" s="80"/>
      <c r="M124" s="80"/>
      <c r="N124" s="80"/>
      <c r="O124" s="80"/>
      <c r="P124" s="80"/>
      <c r="Q124" s="80"/>
      <c r="R124" s="206"/>
      <c r="S124" s="81"/>
    </row>
    <row r="125" spans="1:19" s="82" customFormat="1" ht="11.25" x14ac:dyDescent="0.2">
      <c r="A125" s="77"/>
      <c r="B125" s="77"/>
      <c r="C125" s="77"/>
      <c r="D125" s="77"/>
      <c r="E125" s="86"/>
      <c r="F125" s="97" t="s">
        <v>159</v>
      </c>
      <c r="G125" s="79"/>
      <c r="H125" s="79"/>
      <c r="I125" s="79"/>
      <c r="J125" s="79"/>
      <c r="K125" s="80"/>
      <c r="L125" s="80"/>
      <c r="M125" s="80"/>
      <c r="N125" s="80"/>
      <c r="O125" s="80"/>
      <c r="P125" s="80"/>
      <c r="Q125" s="80"/>
      <c r="R125" s="206"/>
      <c r="S125" s="81"/>
    </row>
    <row r="126" spans="1:19" s="82" customFormat="1" ht="11.25" x14ac:dyDescent="0.2">
      <c r="A126" s="77"/>
      <c r="B126" s="77"/>
      <c r="C126" s="77"/>
      <c r="D126" s="77"/>
      <c r="E126" s="86"/>
      <c r="F126" s="97" t="s">
        <v>160</v>
      </c>
      <c r="G126" s="79"/>
      <c r="H126" s="79"/>
      <c r="I126" s="79"/>
      <c r="J126" s="79"/>
      <c r="K126" s="79"/>
      <c r="L126" s="83"/>
      <c r="M126" s="83"/>
      <c r="N126" s="83"/>
      <c r="O126" s="83"/>
      <c r="P126" s="83"/>
      <c r="Q126" s="83"/>
      <c r="R126" s="84"/>
      <c r="S126" s="85"/>
    </row>
    <row r="127" spans="1:19" ht="33.75" x14ac:dyDescent="0.2">
      <c r="F127" s="67" t="s">
        <v>127</v>
      </c>
      <c r="G127" s="68"/>
      <c r="H127" s="69"/>
      <c r="I127" s="69"/>
      <c r="J127" s="69"/>
      <c r="K127" s="69"/>
      <c r="L127" s="51" t="s">
        <v>21</v>
      </c>
      <c r="M127" s="51" t="s">
        <v>22</v>
      </c>
      <c r="N127" s="51" t="s">
        <v>23</v>
      </c>
      <c r="O127" s="51" t="s">
        <v>24</v>
      </c>
      <c r="P127" s="51" t="s">
        <v>25</v>
      </c>
      <c r="Q127" s="51" t="s">
        <v>26</v>
      </c>
      <c r="R127" s="64" t="s">
        <v>27</v>
      </c>
      <c r="S127" s="65" t="s">
        <v>28</v>
      </c>
    </row>
    <row r="128" spans="1:19" x14ac:dyDescent="0.2">
      <c r="A128" s="59" t="str">
        <f>$G$7</f>
        <v>WISE &amp; Healthy Aging</v>
      </c>
      <c r="B128" s="59" t="str">
        <f>$G$8</f>
        <v>WISE Diner</v>
      </c>
      <c r="D128" s="59" t="s">
        <v>41</v>
      </c>
      <c r="E128" s="29" t="s">
        <v>68</v>
      </c>
      <c r="F128" s="234" t="s">
        <v>161</v>
      </c>
      <c r="G128" s="234"/>
      <c r="H128" s="46"/>
      <c r="I128" s="47"/>
      <c r="J128" s="153"/>
      <c r="K128" s="154"/>
      <c r="L128" s="235">
        <v>15388</v>
      </c>
      <c r="M128" s="235">
        <v>15388</v>
      </c>
      <c r="N128" s="237">
        <f>L128-M128</f>
        <v>0</v>
      </c>
      <c r="O128" s="289">
        <v>7692</v>
      </c>
      <c r="P128" s="289">
        <f>15388-7692</f>
        <v>7696</v>
      </c>
      <c r="Q128" s="49">
        <f>SUM(O128:P128)</f>
        <v>15388</v>
      </c>
      <c r="R128" s="48">
        <f>IFERROR(Q128/M128,"N/A")</f>
        <v>1</v>
      </c>
      <c r="S128" s="286">
        <f t="shared" ref="S128:S129" si="94">Q128</f>
        <v>15388</v>
      </c>
    </row>
    <row r="129" spans="1:19" ht="13.5" thickBot="1" x14ac:dyDescent="0.25">
      <c r="A129" s="59" t="str">
        <f t="shared" ref="A129" si="95">$G$7</f>
        <v>WISE &amp; Healthy Aging</v>
      </c>
      <c r="B129" s="59" t="str">
        <f t="shared" ref="B129" si="96">$G$8</f>
        <v>WISE Diner</v>
      </c>
      <c r="D129" s="59" t="s">
        <v>41</v>
      </c>
      <c r="E129" s="29" t="s">
        <v>65</v>
      </c>
      <c r="F129" s="238"/>
      <c r="G129" s="239"/>
      <c r="H129" s="46"/>
      <c r="I129" s="47"/>
      <c r="J129" s="153" t="s">
        <v>162</v>
      </c>
      <c r="K129" s="154">
        <f>IFERROR(M130/M132,"N/A")</f>
        <v>6.9451715982740872E-2</v>
      </c>
      <c r="L129" s="237">
        <v>0</v>
      </c>
      <c r="M129" s="237">
        <v>0</v>
      </c>
      <c r="N129" s="237">
        <f t="shared" ref="N129" si="97">L129-M129</f>
        <v>0</v>
      </c>
      <c r="O129" s="289">
        <v>0</v>
      </c>
      <c r="P129" s="289">
        <v>0</v>
      </c>
      <c r="Q129" s="61">
        <f>SUM(O129:P129)</f>
        <v>0</v>
      </c>
      <c r="R129" s="62" t="str">
        <f>IFERROR(Q129/M129,"N/A")</f>
        <v>N/A</v>
      </c>
      <c r="S129" s="290">
        <f t="shared" si="94"/>
        <v>0</v>
      </c>
    </row>
    <row r="130" spans="1:19" ht="13.5" thickBot="1" x14ac:dyDescent="0.25">
      <c r="F130" s="199"/>
      <c r="G130" s="200"/>
      <c r="H130" s="201" t="s">
        <v>69</v>
      </c>
      <c r="I130" s="13"/>
      <c r="J130" s="13"/>
      <c r="K130" s="12"/>
      <c r="L130" s="11">
        <f>SUM(L128:L129)</f>
        <v>15388</v>
      </c>
      <c r="M130" s="11">
        <f>SUM(M128:M129)</f>
        <v>15388</v>
      </c>
      <c r="N130" s="11">
        <f>SUM(N128:N129)</f>
        <v>0</v>
      </c>
      <c r="O130" s="11">
        <f t="shared" ref="O130:Q130" si="98">SUM(O128:O129)</f>
        <v>7692</v>
      </c>
      <c r="P130" s="11">
        <f t="shared" si="98"/>
        <v>7696</v>
      </c>
      <c r="Q130" s="11">
        <f t="shared" si="98"/>
        <v>15388</v>
      </c>
      <c r="R130" s="10">
        <f>IFERROR(Q130/M130,"N/A")</f>
        <v>1</v>
      </c>
      <c r="S130" s="9">
        <f>SUM(S128:S129)</f>
        <v>15388</v>
      </c>
    </row>
    <row r="131" spans="1:19" ht="13.5" thickBot="1" x14ac:dyDescent="0.25">
      <c r="F131" s="43"/>
      <c r="G131" s="43"/>
      <c r="H131" s="43"/>
      <c r="I131" s="43"/>
      <c r="J131" s="43"/>
      <c r="K131" s="43"/>
    </row>
    <row r="132" spans="1:19" ht="15.75" thickBot="1" x14ac:dyDescent="0.3">
      <c r="F132" s="8"/>
      <c r="G132" s="6"/>
      <c r="H132" s="7" t="s">
        <v>40</v>
      </c>
      <c r="I132" s="6"/>
      <c r="J132" s="6"/>
      <c r="K132" s="5"/>
      <c r="L132" s="4">
        <f t="shared" ref="L132:Q132" si="99">SUM(L130,L121,L114,L107,L90,L83,L75,L67,L58,L48,L37)</f>
        <v>231564</v>
      </c>
      <c r="M132" s="4">
        <f t="shared" si="99"/>
        <v>221564</v>
      </c>
      <c r="N132" s="4">
        <f t="shared" si="99"/>
        <v>10000</v>
      </c>
      <c r="O132" s="4">
        <f t="shared" si="99"/>
        <v>94120.040000000008</v>
      </c>
      <c r="P132" s="4">
        <f t="shared" si="99"/>
        <v>149994.91999999998</v>
      </c>
      <c r="Q132" s="4">
        <f t="shared" si="99"/>
        <v>221564</v>
      </c>
      <c r="R132" s="3">
        <f>IFERROR(Q132/M132,"N/A")</f>
        <v>1</v>
      </c>
      <c r="S132" s="2">
        <f>SUM(S130,S121,S114,S107,S90,S83,S75,S67,S58,S48,S37)</f>
        <v>221564</v>
      </c>
    </row>
    <row r="133" spans="1:19" ht="15" customHeight="1" thickBot="1" x14ac:dyDescent="0.25">
      <c r="F133" s="43"/>
      <c r="G133" s="43"/>
      <c r="H133" s="43"/>
      <c r="I133" s="43"/>
      <c r="J133" s="43"/>
      <c r="K133" s="43"/>
    </row>
    <row r="134" spans="1:19" ht="39" customHeight="1" thickBot="1" x14ac:dyDescent="0.3">
      <c r="F134" s="101" t="s">
        <v>97</v>
      </c>
      <c r="G134" s="94"/>
      <c r="H134" s="94"/>
      <c r="I134" s="94"/>
      <c r="J134" s="94"/>
      <c r="K134" s="94"/>
      <c r="L134" s="94"/>
      <c r="M134" s="94"/>
      <c r="N134" s="94"/>
      <c r="O134" s="94"/>
      <c r="P134" s="94"/>
      <c r="Q134" s="94"/>
      <c r="R134" s="94"/>
      <c r="S134" s="100"/>
    </row>
    <row r="135" spans="1:19" ht="33.75" x14ac:dyDescent="0.2">
      <c r="F135" s="107" t="s">
        <v>163</v>
      </c>
      <c r="G135" s="99" t="s">
        <v>127</v>
      </c>
      <c r="H135" s="98"/>
      <c r="I135" s="98"/>
      <c r="J135" s="98"/>
      <c r="K135" s="126"/>
      <c r="L135" s="98"/>
      <c r="M135" s="98"/>
      <c r="N135" s="108" t="s">
        <v>164</v>
      </c>
      <c r="O135" s="108" t="s">
        <v>165</v>
      </c>
      <c r="P135" s="108" t="s">
        <v>166</v>
      </c>
      <c r="Q135" s="108" t="s">
        <v>167</v>
      </c>
      <c r="R135" s="123" t="s">
        <v>168</v>
      </c>
      <c r="S135" s="109" t="s">
        <v>169</v>
      </c>
    </row>
    <row r="136" spans="1:19" x14ac:dyDescent="0.2">
      <c r="A136" s="59" t="str">
        <f t="shared" ref="A136:A141" si="100">$G$7</f>
        <v>WISE &amp; Healthy Aging</v>
      </c>
      <c r="B136" s="59" t="str">
        <f t="shared" ref="B136:B141" si="101">$G$8</f>
        <v>WISE Diner</v>
      </c>
      <c r="D136" s="59" t="s">
        <v>97</v>
      </c>
      <c r="E136" s="29" t="str">
        <f t="shared" ref="E136:E141" si="102">F136</f>
        <v>1.  Government Grants</v>
      </c>
      <c r="F136" s="125" t="s">
        <v>170</v>
      </c>
      <c r="G136" s="291"/>
      <c r="H136" s="43"/>
      <c r="I136" s="43"/>
      <c r="J136" s="43"/>
      <c r="K136" s="127"/>
      <c r="L136" s="43"/>
      <c r="M136" s="43"/>
      <c r="N136" s="227">
        <v>0</v>
      </c>
      <c r="O136" s="287">
        <v>0</v>
      </c>
      <c r="P136" s="287">
        <v>0</v>
      </c>
      <c r="Q136" s="110">
        <f t="shared" ref="Q136:Q141" si="103">SUM(O136:P136)</f>
        <v>0</v>
      </c>
      <c r="R136" s="35"/>
      <c r="S136" s="202"/>
    </row>
    <row r="137" spans="1:19" x14ac:dyDescent="0.2">
      <c r="A137" s="59" t="str">
        <f t="shared" si="100"/>
        <v>WISE &amp; Healthy Aging</v>
      </c>
      <c r="B137" s="59" t="str">
        <f t="shared" si="101"/>
        <v>WISE Diner</v>
      </c>
      <c r="D137" s="59" t="s">
        <v>97</v>
      </c>
      <c r="E137" s="29" t="str">
        <f t="shared" si="102"/>
        <v>2.  Private/Corporate Grants</v>
      </c>
      <c r="F137" s="125" t="s">
        <v>171</v>
      </c>
      <c r="G137" s="291"/>
      <c r="H137" s="43"/>
      <c r="I137" s="43"/>
      <c r="J137" s="43"/>
      <c r="K137" s="127"/>
      <c r="L137" s="43"/>
      <c r="M137" s="43"/>
      <c r="N137" s="227">
        <v>0</v>
      </c>
      <c r="O137" s="287">
        <v>0</v>
      </c>
      <c r="P137" s="287">
        <v>0</v>
      </c>
      <c r="Q137" s="110">
        <f t="shared" si="103"/>
        <v>0</v>
      </c>
      <c r="R137" s="35"/>
      <c r="S137" s="202"/>
    </row>
    <row r="138" spans="1:19" x14ac:dyDescent="0.2">
      <c r="A138" s="59" t="str">
        <f t="shared" si="100"/>
        <v>WISE &amp; Healthy Aging</v>
      </c>
      <c r="B138" s="59" t="str">
        <f t="shared" si="101"/>
        <v>WISE Diner</v>
      </c>
      <c r="D138" s="59" t="s">
        <v>97</v>
      </c>
      <c r="E138" s="29" t="str">
        <f t="shared" si="102"/>
        <v>3.  Individual Donations</v>
      </c>
      <c r="F138" s="125" t="s">
        <v>172</v>
      </c>
      <c r="G138" s="291"/>
      <c r="H138" s="43"/>
      <c r="I138" s="43"/>
      <c r="J138" s="43"/>
      <c r="K138" s="127"/>
      <c r="L138" s="43"/>
      <c r="M138" s="43"/>
      <c r="N138" s="227">
        <v>0</v>
      </c>
      <c r="O138" s="287">
        <v>0</v>
      </c>
      <c r="P138" s="287">
        <v>0</v>
      </c>
      <c r="Q138" s="110">
        <f t="shared" si="103"/>
        <v>0</v>
      </c>
      <c r="S138" s="202"/>
    </row>
    <row r="139" spans="1:19" x14ac:dyDescent="0.2">
      <c r="A139" s="59" t="str">
        <f t="shared" si="100"/>
        <v>WISE &amp; Healthy Aging</v>
      </c>
      <c r="B139" s="59" t="str">
        <f t="shared" si="101"/>
        <v>WISE Diner</v>
      </c>
      <c r="D139" s="59" t="s">
        <v>97</v>
      </c>
      <c r="E139" s="29" t="str">
        <f t="shared" si="102"/>
        <v>4.  Fundraising Events</v>
      </c>
      <c r="F139" s="125" t="s">
        <v>173</v>
      </c>
      <c r="G139" s="291"/>
      <c r="H139" s="43"/>
      <c r="I139" s="43"/>
      <c r="J139" s="43"/>
      <c r="K139" s="127"/>
      <c r="L139" s="43"/>
      <c r="M139" s="43"/>
      <c r="N139" s="227">
        <v>0</v>
      </c>
      <c r="O139" s="287">
        <v>0</v>
      </c>
      <c r="P139" s="287">
        <v>0</v>
      </c>
      <c r="Q139" s="110">
        <f t="shared" si="103"/>
        <v>0</v>
      </c>
      <c r="R139" s="105"/>
      <c r="S139" s="203"/>
    </row>
    <row r="140" spans="1:19" x14ac:dyDescent="0.2">
      <c r="A140" s="59" t="str">
        <f t="shared" si="100"/>
        <v>WISE &amp; Healthy Aging</v>
      </c>
      <c r="B140" s="59" t="str">
        <f t="shared" si="101"/>
        <v>WISE Diner</v>
      </c>
      <c r="D140" s="59" t="s">
        <v>97</v>
      </c>
      <c r="E140" s="29" t="str">
        <f t="shared" si="102"/>
        <v>5.  Fees for Service</v>
      </c>
      <c r="F140" s="125" t="s">
        <v>174</v>
      </c>
      <c r="G140" s="291"/>
      <c r="H140" s="43"/>
      <c r="I140" s="43"/>
      <c r="J140" s="43"/>
      <c r="K140" s="127"/>
      <c r="L140" s="43"/>
      <c r="M140" s="43"/>
      <c r="N140" s="227">
        <v>0</v>
      </c>
      <c r="O140" s="287">
        <v>0</v>
      </c>
      <c r="P140" s="287">
        <v>0</v>
      </c>
      <c r="Q140" s="110">
        <f t="shared" si="103"/>
        <v>0</v>
      </c>
      <c r="R140" s="105"/>
      <c r="S140" s="203"/>
    </row>
    <row r="141" spans="1:19" x14ac:dyDescent="0.2">
      <c r="A141" s="59" t="str">
        <f t="shared" si="100"/>
        <v>WISE &amp; Healthy Aging</v>
      </c>
      <c r="B141" s="59" t="str">
        <f t="shared" si="101"/>
        <v>WISE Diner</v>
      </c>
      <c r="D141" s="59" t="s">
        <v>97</v>
      </c>
      <c r="E141" s="29" t="str">
        <f t="shared" si="102"/>
        <v>6.  Other</v>
      </c>
      <c r="F141" s="125" t="s">
        <v>175</v>
      </c>
      <c r="G141" s="291"/>
      <c r="H141" s="43"/>
      <c r="I141" s="43"/>
      <c r="J141" s="43"/>
      <c r="K141" s="127"/>
      <c r="L141" s="43"/>
      <c r="M141" s="43"/>
      <c r="N141" s="237">
        <v>0</v>
      </c>
      <c r="O141" s="292">
        <v>0</v>
      </c>
      <c r="P141" s="292">
        <v>0</v>
      </c>
      <c r="Q141" s="111">
        <f t="shared" si="103"/>
        <v>0</v>
      </c>
      <c r="R141" s="105"/>
      <c r="S141" s="204"/>
    </row>
    <row r="142" spans="1:19" ht="15.75" thickBot="1" x14ac:dyDescent="0.3">
      <c r="F142" s="112" t="s">
        <v>176</v>
      </c>
      <c r="G142" s="66"/>
      <c r="H142" s="102" t="s">
        <v>177</v>
      </c>
      <c r="I142" s="103"/>
      <c r="J142" s="103"/>
      <c r="K142" s="103"/>
      <c r="L142" s="103"/>
      <c r="M142" s="103"/>
      <c r="N142" s="113">
        <f>SUM(N136:N141)</f>
        <v>0</v>
      </c>
      <c r="O142" s="113">
        <f>SUM(O136:O141)</f>
        <v>0</v>
      </c>
      <c r="P142" s="113">
        <f>SUM(P136:P141)</f>
        <v>0</v>
      </c>
      <c r="Q142" s="113">
        <f>SUM(Q136:Q141)</f>
        <v>0</v>
      </c>
      <c r="R142" s="106">
        <f>'CASH MATCH'!E18</f>
        <v>-36521.538461538468</v>
      </c>
      <c r="S142" s="114">
        <f>IFERROR(Q142-R142,"N/A")</f>
        <v>36521.538461538468</v>
      </c>
    </row>
    <row r="143" spans="1:19" s="93" customFormat="1" ht="13.5" thickBot="1" x14ac:dyDescent="0.25">
      <c r="A143" s="59"/>
      <c r="B143" s="59"/>
      <c r="C143" s="59"/>
      <c r="D143" s="59"/>
      <c r="E143" s="92"/>
      <c r="F143" s="115"/>
      <c r="G143" s="127"/>
      <c r="H143" s="127"/>
      <c r="I143" s="127"/>
      <c r="J143" s="127"/>
      <c r="K143" s="128"/>
      <c r="L143" s="29"/>
      <c r="M143" s="29"/>
      <c r="N143" s="29"/>
      <c r="O143" s="29"/>
      <c r="P143" s="29"/>
      <c r="Q143" s="29"/>
      <c r="R143" s="28"/>
      <c r="S143" s="27"/>
    </row>
    <row r="144" spans="1:19" s="93" customFormat="1" x14ac:dyDescent="0.2">
      <c r="A144" s="59"/>
      <c r="B144" s="59"/>
      <c r="C144" s="59"/>
      <c r="D144" s="59"/>
      <c r="E144" s="92"/>
      <c r="F144" s="42" t="s">
        <v>178</v>
      </c>
      <c r="G144" s="41"/>
      <c r="H144" s="41"/>
      <c r="I144" s="41"/>
      <c r="J144" s="41"/>
      <c r="K144" s="40"/>
      <c r="L144" s="40"/>
      <c r="M144" s="40"/>
      <c r="N144" s="40"/>
      <c r="O144" s="40"/>
      <c r="P144" s="40"/>
      <c r="Q144" s="40"/>
      <c r="R144" s="39"/>
      <c r="S144" s="38"/>
    </row>
    <row r="145" spans="6:19" ht="13.5" thickBot="1" x14ac:dyDescent="0.25">
      <c r="F145" s="34" t="s">
        <v>179</v>
      </c>
      <c r="G145" s="33"/>
      <c r="H145" s="33"/>
      <c r="I145" s="33"/>
      <c r="J145" s="33"/>
      <c r="K145" s="32"/>
      <c r="L145" s="32"/>
      <c r="M145" s="32"/>
      <c r="N145" s="32"/>
      <c r="O145" s="32"/>
      <c r="P145" s="32"/>
      <c r="Q145" s="32"/>
      <c r="R145" s="31"/>
      <c r="S145" s="30"/>
    </row>
  </sheetData>
  <sheetProtection algorithmName="SHA-512" hashValue="9J6sMlBdX5vxL4OTDUVeKLONZndsbysaS1RUNS8m5FyGT7fMzgx83IOD1+25KEBA1H8UHlsqF/qu7/1nGG3brQ==" saltValue="+yhMy6roormMoUyAxAj4uQ==" spinCount="100000" sheet="1" objects="1" scenarios="1"/>
  <sortState xmlns:xlrd2="http://schemas.microsoft.com/office/spreadsheetml/2017/richdata2" ref="A28:W34">
    <sortCondition ref="T28:T34"/>
  </sortState>
  <conditionalFormatting sqref="G136:G141">
    <cfRule type="containsText" dxfId="0" priority="50" operator="containsText" text="VARIANCE">
      <formula>NOT(ISERROR(SEARCH("VARIANCE",G136)))</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28:K129"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36"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orientation="portrait"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Normal="100" workbookViewId="0">
      <selection activeCell="L2" sqref="L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0</v>
      </c>
      <c r="B1" s="131" t="s">
        <v>1</v>
      </c>
      <c r="C1" s="131" t="s">
        <v>2</v>
      </c>
      <c r="D1" s="131" t="s">
        <v>3</v>
      </c>
      <c r="E1" s="132" t="s">
        <v>4</v>
      </c>
      <c r="F1" s="133" t="s">
        <v>5</v>
      </c>
      <c r="G1" s="134" t="s">
        <v>180</v>
      </c>
      <c r="H1" s="134" t="s">
        <v>181</v>
      </c>
      <c r="I1" s="134" t="s">
        <v>182</v>
      </c>
    </row>
    <row r="2" spans="1:13" ht="18" collapsed="1" x14ac:dyDescent="0.2">
      <c r="A2" s="131"/>
      <c r="B2" s="131"/>
      <c r="C2" s="131"/>
      <c r="D2" s="131"/>
      <c r="E2" s="132"/>
      <c r="F2" s="137" t="s">
        <v>20</v>
      </c>
      <c r="G2" s="212"/>
      <c r="H2" s="139"/>
      <c r="I2" s="139"/>
      <c r="J2" s="139"/>
      <c r="K2" s="213"/>
    </row>
    <row r="3" spans="1:13" ht="18" x14ac:dyDescent="0.2">
      <c r="A3" s="131"/>
      <c r="B3" s="131"/>
      <c r="C3" s="131"/>
      <c r="D3" s="131"/>
      <c r="E3" s="132"/>
      <c r="F3" s="137" t="s">
        <v>183</v>
      </c>
      <c r="G3" s="214"/>
      <c r="H3" s="214"/>
      <c r="I3" s="215"/>
      <c r="J3" s="215"/>
      <c r="K3" s="214"/>
      <c r="L3" s="214"/>
      <c r="M3" s="214"/>
    </row>
    <row r="4" spans="1:13" x14ac:dyDescent="0.2">
      <c r="A4" s="131"/>
      <c r="B4" s="131"/>
      <c r="C4" s="131"/>
      <c r="D4" s="131"/>
      <c r="E4" s="132"/>
      <c r="F4" s="138"/>
      <c r="G4" s="212"/>
      <c r="H4" s="139"/>
      <c r="I4" s="139"/>
      <c r="J4" s="139"/>
      <c r="K4" s="213"/>
    </row>
    <row r="5" spans="1:13" s="149" customFormat="1" ht="30" x14ac:dyDescent="0.2">
      <c r="A5" s="146"/>
      <c r="B5" s="146"/>
      <c r="C5" s="146"/>
      <c r="D5" s="147"/>
      <c r="E5" s="148"/>
      <c r="F5" s="245" t="s">
        <v>184</v>
      </c>
      <c r="G5" s="216" t="s">
        <v>185</v>
      </c>
      <c r="H5" s="216" t="s">
        <v>186</v>
      </c>
      <c r="I5" s="216" t="s">
        <v>187</v>
      </c>
      <c r="J5" s="152"/>
      <c r="L5" s="152"/>
      <c r="M5" s="152"/>
    </row>
    <row r="6" spans="1:13" s="149" customFormat="1" ht="14.25" x14ac:dyDescent="0.2">
      <c r="A6" s="146" t="str">
        <f>'PROGRAM BUDGET &amp; FISCAL REPORT'!$G$7</f>
        <v>WISE &amp; Healthy Aging</v>
      </c>
      <c r="B6" s="146" t="str">
        <f>'PROGRAM BUDGET &amp; FISCAL REPORT'!$G$8</f>
        <v>WISE Diner</v>
      </c>
      <c r="C6" s="146"/>
      <c r="D6" s="146" t="s">
        <v>188</v>
      </c>
      <c r="E6" s="149" t="s">
        <v>189</v>
      </c>
      <c r="F6" s="217" t="s">
        <v>190</v>
      </c>
      <c r="G6" s="243">
        <v>350</v>
      </c>
      <c r="H6" s="293">
        <v>336</v>
      </c>
      <c r="I6" s="293">
        <v>364</v>
      </c>
      <c r="J6" s="152"/>
      <c r="L6" s="152"/>
      <c r="M6" s="152"/>
    </row>
    <row r="7" spans="1:13" s="149" customFormat="1" ht="14.25" x14ac:dyDescent="0.2">
      <c r="A7" s="146" t="str">
        <f>'PROGRAM BUDGET &amp; FISCAL REPORT'!$G$7</f>
        <v>WISE &amp; Healthy Aging</v>
      </c>
      <c r="B7" s="146" t="str">
        <f>'PROGRAM BUDGET &amp; FISCAL REPORT'!$G$8</f>
        <v>WISE Diner</v>
      </c>
      <c r="C7" s="146"/>
      <c r="D7" s="146" t="s">
        <v>188</v>
      </c>
      <c r="E7" s="149" t="s">
        <v>189</v>
      </c>
      <c r="F7" s="217" t="s">
        <v>191</v>
      </c>
      <c r="G7" s="243">
        <v>300</v>
      </c>
      <c r="H7" s="293">
        <v>279</v>
      </c>
      <c r="I7" s="293">
        <v>304</v>
      </c>
      <c r="J7" s="152"/>
      <c r="L7" s="152"/>
      <c r="M7" s="152"/>
    </row>
    <row r="8" spans="1:13" s="149" customFormat="1" ht="14.25" x14ac:dyDescent="0.2">
      <c r="A8" s="146" t="str">
        <f>'PROGRAM BUDGET &amp; FISCAL REPORT'!$G$7</f>
        <v>WISE &amp; Healthy Aging</v>
      </c>
      <c r="B8" s="146" t="str">
        <f>'PROGRAM BUDGET &amp; FISCAL REPORT'!$G$8</f>
        <v>WISE Diner</v>
      </c>
      <c r="C8" s="146"/>
      <c r="D8" s="146" t="s">
        <v>188</v>
      </c>
      <c r="E8" s="149" t="s">
        <v>189</v>
      </c>
      <c r="F8" s="217" t="s">
        <v>192</v>
      </c>
      <c r="G8" s="243">
        <v>180</v>
      </c>
      <c r="H8" s="293">
        <v>180</v>
      </c>
      <c r="I8" s="293">
        <v>195</v>
      </c>
      <c r="J8" s="152"/>
      <c r="L8" s="152"/>
      <c r="M8" s="152"/>
    </row>
    <row r="9" spans="1:13" s="149" customFormat="1" ht="14.25" x14ac:dyDescent="0.2">
      <c r="A9" s="146" t="str">
        <f>'PROGRAM BUDGET &amp; FISCAL REPORT'!$G$7</f>
        <v>WISE &amp; Healthy Aging</v>
      </c>
      <c r="B9" s="146" t="str">
        <f>'PROGRAM BUDGET &amp; FISCAL REPORT'!$G$8</f>
        <v>WISE Diner</v>
      </c>
      <c r="C9" s="146"/>
      <c r="D9" s="146" t="s">
        <v>188</v>
      </c>
      <c r="E9" s="149" t="s">
        <v>189</v>
      </c>
      <c r="F9" s="217" t="s">
        <v>193</v>
      </c>
      <c r="G9" s="243">
        <v>0</v>
      </c>
      <c r="H9" s="293">
        <v>0</v>
      </c>
      <c r="I9" s="293">
        <v>0</v>
      </c>
      <c r="J9" s="152"/>
      <c r="L9" s="152"/>
      <c r="M9" s="152"/>
    </row>
    <row r="10" spans="1:13" s="149" customFormat="1" ht="14.25" x14ac:dyDescent="0.2">
      <c r="A10" s="146" t="str">
        <f>'PROGRAM BUDGET &amp; FISCAL REPORT'!$G$7</f>
        <v>WISE &amp; Healthy Aging</v>
      </c>
      <c r="B10" s="146" t="str">
        <f>'PROGRAM BUDGET &amp; FISCAL REPORT'!$G$8</f>
        <v>WISE Diner</v>
      </c>
      <c r="C10" s="146"/>
      <c r="D10" s="146" t="s">
        <v>188</v>
      </c>
      <c r="E10" s="149" t="s">
        <v>189</v>
      </c>
      <c r="F10" s="217" t="s">
        <v>194</v>
      </c>
      <c r="G10" s="243">
        <v>120</v>
      </c>
      <c r="H10" s="293">
        <v>81</v>
      </c>
      <c r="I10" s="293">
        <v>85</v>
      </c>
      <c r="J10" s="152"/>
      <c r="L10" s="152"/>
      <c r="M10" s="152"/>
    </row>
    <row r="11" spans="1:13" s="149" customFormat="1" ht="14.25" x14ac:dyDescent="0.2">
      <c r="A11" s="146" t="str">
        <f>'PROGRAM BUDGET &amp; FISCAL REPORT'!$G$7</f>
        <v>WISE &amp; Healthy Aging</v>
      </c>
      <c r="B11" s="146" t="str">
        <f>'PROGRAM BUDGET &amp; FISCAL REPORT'!$G$8</f>
        <v>WISE Diner</v>
      </c>
      <c r="C11" s="146"/>
      <c r="D11" s="146" t="s">
        <v>188</v>
      </c>
      <c r="E11" s="149" t="s">
        <v>189</v>
      </c>
      <c r="F11" s="217" t="s">
        <v>195</v>
      </c>
      <c r="G11" s="243" t="s">
        <v>196</v>
      </c>
      <c r="H11" s="293">
        <v>21</v>
      </c>
      <c r="I11" s="293">
        <v>22</v>
      </c>
      <c r="J11" s="152"/>
      <c r="L11" s="152"/>
      <c r="M11" s="152"/>
    </row>
    <row r="12" spans="1:13" s="149" customFormat="1" ht="14.25" x14ac:dyDescent="0.2">
      <c r="A12" s="146" t="str">
        <f>'PROGRAM BUDGET &amp; FISCAL REPORT'!$G$7</f>
        <v>WISE &amp; Healthy Aging</v>
      </c>
      <c r="B12" s="146" t="str">
        <f>'PROGRAM BUDGET &amp; FISCAL REPORT'!$G$8</f>
        <v>WISE Diner</v>
      </c>
      <c r="C12" s="146"/>
      <c r="D12" s="146" t="s">
        <v>188</v>
      </c>
      <c r="E12" s="149" t="s">
        <v>189</v>
      </c>
      <c r="F12" s="217" t="s">
        <v>197</v>
      </c>
      <c r="G12" s="243">
        <v>45</v>
      </c>
      <c r="H12" s="293">
        <v>53</v>
      </c>
      <c r="I12" s="293">
        <v>59</v>
      </c>
      <c r="J12" s="152"/>
      <c r="L12" s="152"/>
      <c r="M12" s="152"/>
    </row>
    <row r="13" spans="1:13" s="149" customFormat="1" ht="14.25" x14ac:dyDescent="0.2">
      <c r="A13" s="146" t="str">
        <f>'PROGRAM BUDGET &amp; FISCAL REPORT'!$G$7</f>
        <v>WISE &amp; Healthy Aging</v>
      </c>
      <c r="B13" s="146" t="str">
        <f>'PROGRAM BUDGET &amp; FISCAL REPORT'!$G$8</f>
        <v>WISE Diner</v>
      </c>
      <c r="C13" s="146"/>
      <c r="D13" s="146" t="s">
        <v>188</v>
      </c>
      <c r="E13" s="149" t="s">
        <v>189</v>
      </c>
      <c r="F13" s="217" t="s">
        <v>198</v>
      </c>
      <c r="G13" s="243">
        <v>75</v>
      </c>
      <c r="H13" s="293">
        <v>99</v>
      </c>
      <c r="I13" s="293">
        <v>129</v>
      </c>
      <c r="J13" s="152"/>
      <c r="L13" s="152"/>
      <c r="M13" s="152"/>
    </row>
    <row r="14" spans="1:13" s="149" customFormat="1" ht="14.25" x14ac:dyDescent="0.2">
      <c r="A14" s="146"/>
      <c r="B14" s="146"/>
      <c r="C14" s="146"/>
      <c r="D14" s="146"/>
      <c r="F14" s="150"/>
      <c r="G14" s="151"/>
      <c r="H14" s="151"/>
      <c r="I14" s="151"/>
      <c r="J14" s="152"/>
      <c r="L14" s="152"/>
      <c r="M14" s="152"/>
    </row>
    <row r="15" spans="1:13" s="149" customFormat="1" ht="30" x14ac:dyDescent="0.2">
      <c r="A15" s="146"/>
      <c r="B15" s="146"/>
      <c r="C15" s="146"/>
      <c r="D15" s="146"/>
      <c r="F15" s="245" t="s">
        <v>199</v>
      </c>
      <c r="G15" s="216" t="s">
        <v>185</v>
      </c>
      <c r="H15" s="216" t="s">
        <v>186</v>
      </c>
      <c r="I15" s="216" t="s">
        <v>187</v>
      </c>
      <c r="J15" s="152"/>
      <c r="L15" s="152"/>
      <c r="M15" s="152"/>
    </row>
    <row r="16" spans="1:13" s="149" customFormat="1" ht="14.25" x14ac:dyDescent="0.2">
      <c r="A16" s="146" t="str">
        <f>'PROGRAM BUDGET &amp; FISCAL REPORT'!$G$7</f>
        <v>WISE &amp; Healthy Aging</v>
      </c>
      <c r="B16" s="146" t="str">
        <f>'PROGRAM BUDGET &amp; FISCAL REPORT'!$G$8</f>
        <v>WISE Diner</v>
      </c>
      <c r="C16" s="146"/>
      <c r="D16" s="146" t="s">
        <v>188</v>
      </c>
      <c r="E16" s="149" t="s">
        <v>200</v>
      </c>
      <c r="F16" s="217" t="s">
        <v>201</v>
      </c>
      <c r="G16" s="243">
        <v>18</v>
      </c>
      <c r="H16" s="293">
        <v>15</v>
      </c>
      <c r="I16" s="293">
        <v>17</v>
      </c>
      <c r="J16" s="152"/>
      <c r="L16" s="152"/>
      <c r="M16" s="152"/>
    </row>
    <row r="17" spans="1:13" s="149" customFormat="1" ht="14.25" x14ac:dyDescent="0.2">
      <c r="A17" s="146" t="str">
        <f>'PROGRAM BUDGET &amp; FISCAL REPORT'!$G$7</f>
        <v>WISE &amp; Healthy Aging</v>
      </c>
      <c r="B17" s="146" t="str">
        <f>'PROGRAM BUDGET &amp; FISCAL REPORT'!$G$8</f>
        <v>WISE Diner</v>
      </c>
      <c r="C17" s="146"/>
      <c r="D17" s="146" t="s">
        <v>188</v>
      </c>
      <c r="E17" s="149" t="s">
        <v>200</v>
      </c>
      <c r="F17" s="217" t="s">
        <v>202</v>
      </c>
      <c r="G17" s="243">
        <v>36</v>
      </c>
      <c r="H17" s="293">
        <v>38</v>
      </c>
      <c r="I17" s="293">
        <v>39</v>
      </c>
      <c r="J17" s="152"/>
      <c r="L17" s="152"/>
      <c r="M17" s="152"/>
    </row>
    <row r="18" spans="1:13" s="149" customFormat="1" ht="14.25" x14ac:dyDescent="0.2">
      <c r="A18" s="146" t="str">
        <f>'PROGRAM BUDGET &amp; FISCAL REPORT'!$G$7</f>
        <v>WISE &amp; Healthy Aging</v>
      </c>
      <c r="B18" s="146" t="str">
        <f>'PROGRAM BUDGET &amp; FISCAL REPORT'!$G$8</f>
        <v>WISE Diner</v>
      </c>
      <c r="C18" s="146"/>
      <c r="D18" s="146" t="s">
        <v>188</v>
      </c>
      <c r="E18" s="149" t="s">
        <v>200</v>
      </c>
      <c r="F18" s="217" t="s">
        <v>203</v>
      </c>
      <c r="G18" s="243">
        <v>36</v>
      </c>
      <c r="H18" s="293">
        <v>19</v>
      </c>
      <c r="I18" s="293">
        <v>22</v>
      </c>
      <c r="J18" s="152"/>
      <c r="L18" s="152"/>
      <c r="M18" s="152"/>
    </row>
    <row r="19" spans="1:13" s="149" customFormat="1" ht="14.25" x14ac:dyDescent="0.2">
      <c r="A19" s="146" t="str">
        <f>'PROGRAM BUDGET &amp; FISCAL REPORT'!$G$7</f>
        <v>WISE &amp; Healthy Aging</v>
      </c>
      <c r="B19" s="146" t="str">
        <f>'PROGRAM BUDGET &amp; FISCAL REPORT'!$G$8</f>
        <v>WISE Diner</v>
      </c>
      <c r="C19" s="146"/>
      <c r="D19" s="146" t="s">
        <v>188</v>
      </c>
      <c r="E19" s="149" t="s">
        <v>200</v>
      </c>
      <c r="F19" s="217" t="s">
        <v>204</v>
      </c>
      <c r="G19" s="243">
        <v>132</v>
      </c>
      <c r="H19" s="293">
        <v>163</v>
      </c>
      <c r="I19" s="293">
        <v>178</v>
      </c>
      <c r="J19" s="152"/>
      <c r="L19" s="152"/>
      <c r="M19" s="152"/>
    </row>
    <row r="20" spans="1:13" s="149" customFormat="1" ht="14.25" x14ac:dyDescent="0.2">
      <c r="A20" s="146" t="str">
        <f>'PROGRAM BUDGET &amp; FISCAL REPORT'!$G$7</f>
        <v>WISE &amp; Healthy Aging</v>
      </c>
      <c r="B20" s="146" t="str">
        <f>'PROGRAM BUDGET &amp; FISCAL REPORT'!$G$8</f>
        <v>WISE Diner</v>
      </c>
      <c r="C20" s="146"/>
      <c r="D20" s="146" t="s">
        <v>188</v>
      </c>
      <c r="E20" s="149" t="s">
        <v>200</v>
      </c>
      <c r="F20" s="217" t="s">
        <v>205</v>
      </c>
      <c r="G20" s="243">
        <v>3</v>
      </c>
      <c r="H20" s="293">
        <v>0</v>
      </c>
      <c r="I20" s="293">
        <v>0</v>
      </c>
      <c r="J20" s="152"/>
      <c r="L20" s="152"/>
      <c r="M20" s="152"/>
    </row>
    <row r="21" spans="1:13" s="149" customFormat="1" ht="14.25" x14ac:dyDescent="0.2">
      <c r="A21" s="146" t="str">
        <f>'PROGRAM BUDGET &amp; FISCAL REPORT'!$G$7</f>
        <v>WISE &amp; Healthy Aging</v>
      </c>
      <c r="B21" s="146" t="str">
        <f>'PROGRAM BUDGET &amp; FISCAL REPORT'!$G$8</f>
        <v>WISE Diner</v>
      </c>
      <c r="C21" s="146"/>
      <c r="D21" s="146" t="s">
        <v>188</v>
      </c>
      <c r="E21" s="149" t="s">
        <v>200</v>
      </c>
      <c r="F21" s="217" t="s">
        <v>206</v>
      </c>
      <c r="G21" s="243">
        <v>75</v>
      </c>
      <c r="H21" s="293">
        <v>4</v>
      </c>
      <c r="I21" s="293">
        <v>5</v>
      </c>
      <c r="J21" s="152"/>
      <c r="L21" s="152"/>
      <c r="M21" s="152"/>
    </row>
    <row r="22" spans="1:13" s="149" customFormat="1" ht="14.25" x14ac:dyDescent="0.2">
      <c r="A22" s="146" t="str">
        <f>'PROGRAM BUDGET &amp; FISCAL REPORT'!$G$7</f>
        <v>WISE &amp; Healthy Aging</v>
      </c>
      <c r="B22" s="146" t="str">
        <f>'PROGRAM BUDGET &amp; FISCAL REPORT'!$G$8</f>
        <v>WISE Diner</v>
      </c>
      <c r="C22" s="146"/>
      <c r="D22" s="146" t="s">
        <v>188</v>
      </c>
      <c r="E22" s="149" t="s">
        <v>200</v>
      </c>
      <c r="F22" s="217" t="s">
        <v>207</v>
      </c>
      <c r="G22" s="243">
        <v>0</v>
      </c>
      <c r="H22" s="293">
        <v>40</v>
      </c>
      <c r="I22" s="293">
        <v>43</v>
      </c>
      <c r="J22" s="152"/>
      <c r="L22" s="152"/>
      <c r="M22" s="152"/>
    </row>
    <row r="23" spans="1:13" s="149" customFormat="1" ht="15" x14ac:dyDescent="0.2">
      <c r="A23" s="146"/>
      <c r="B23" s="146"/>
      <c r="C23" s="146"/>
      <c r="D23" s="146"/>
      <c r="F23" s="218" t="s">
        <v>208</v>
      </c>
      <c r="G23" s="208">
        <f>SUM(G16:G22)</f>
        <v>300</v>
      </c>
      <c r="H23" s="208">
        <f>SUM(H16:H22)</f>
        <v>279</v>
      </c>
      <c r="I23" s="208">
        <f>SUM(I16:I22)</f>
        <v>304</v>
      </c>
      <c r="J23" s="152"/>
      <c r="L23" s="152"/>
      <c r="M23" s="152"/>
    </row>
    <row r="24" spans="1:13" s="149" customFormat="1" ht="14.25" x14ac:dyDescent="0.2">
      <c r="A24" s="146"/>
      <c r="B24" s="146"/>
      <c r="C24" s="146"/>
      <c r="D24" s="146"/>
      <c r="G24" s="151"/>
      <c r="H24" s="151"/>
      <c r="I24" s="151"/>
      <c r="J24" s="152"/>
      <c r="L24" s="152"/>
      <c r="M24" s="152"/>
    </row>
    <row r="25" spans="1:13" s="149" customFormat="1" ht="30" x14ac:dyDescent="0.2">
      <c r="A25" s="146"/>
      <c r="B25" s="146"/>
      <c r="C25" s="146"/>
      <c r="D25" s="146"/>
      <c r="F25" s="245" t="s">
        <v>209</v>
      </c>
      <c r="G25" s="216" t="s">
        <v>185</v>
      </c>
      <c r="H25" s="216" t="s">
        <v>186</v>
      </c>
      <c r="I25" s="216" t="s">
        <v>187</v>
      </c>
      <c r="J25" s="152"/>
      <c r="L25" s="152"/>
      <c r="M25" s="152"/>
    </row>
    <row r="26" spans="1:13" s="149" customFormat="1" ht="14.25" x14ac:dyDescent="0.2">
      <c r="A26" s="146" t="str">
        <f>'PROGRAM BUDGET &amp; FISCAL REPORT'!$G$7</f>
        <v>WISE &amp; Healthy Aging</v>
      </c>
      <c r="B26" s="146" t="str">
        <f>'PROGRAM BUDGET &amp; FISCAL REPORT'!$G$8</f>
        <v>WISE Diner</v>
      </c>
      <c r="C26" s="146"/>
      <c r="D26" s="146" t="s">
        <v>188</v>
      </c>
      <c r="E26" s="149" t="s">
        <v>210</v>
      </c>
      <c r="F26" s="217">
        <v>90401</v>
      </c>
      <c r="G26" s="243" t="s">
        <v>196</v>
      </c>
      <c r="H26" s="293">
        <v>59</v>
      </c>
      <c r="I26" s="293">
        <v>62</v>
      </c>
      <c r="J26" s="152"/>
      <c r="L26" s="152"/>
      <c r="M26" s="152"/>
    </row>
    <row r="27" spans="1:13" s="149" customFormat="1" ht="14.25" x14ac:dyDescent="0.2">
      <c r="A27" s="146" t="str">
        <f>'PROGRAM BUDGET &amp; FISCAL REPORT'!$G$7</f>
        <v>WISE &amp; Healthy Aging</v>
      </c>
      <c r="B27" s="146" t="str">
        <f>'PROGRAM BUDGET &amp; FISCAL REPORT'!$G$8</f>
        <v>WISE Diner</v>
      </c>
      <c r="C27" s="146"/>
      <c r="D27" s="146" t="s">
        <v>188</v>
      </c>
      <c r="E27" s="149" t="s">
        <v>210</v>
      </c>
      <c r="F27" s="217">
        <v>90402</v>
      </c>
      <c r="G27" s="243" t="s">
        <v>196</v>
      </c>
      <c r="H27" s="293">
        <v>15</v>
      </c>
      <c r="I27" s="293">
        <v>15</v>
      </c>
      <c r="J27" s="152"/>
      <c r="L27" s="152"/>
      <c r="M27" s="152"/>
    </row>
    <row r="28" spans="1:13" s="149" customFormat="1" ht="14.25" x14ac:dyDescent="0.2">
      <c r="A28" s="146" t="str">
        <f>'PROGRAM BUDGET &amp; FISCAL REPORT'!$G$7</f>
        <v>WISE &amp; Healthy Aging</v>
      </c>
      <c r="B28" s="146" t="str">
        <f>'PROGRAM BUDGET &amp; FISCAL REPORT'!$G$8</f>
        <v>WISE Diner</v>
      </c>
      <c r="C28" s="146"/>
      <c r="D28" s="146" t="s">
        <v>188</v>
      </c>
      <c r="E28" s="149" t="s">
        <v>210</v>
      </c>
      <c r="F28" s="217">
        <v>90403</v>
      </c>
      <c r="G28" s="243" t="s">
        <v>196</v>
      </c>
      <c r="H28" s="293">
        <v>97</v>
      </c>
      <c r="I28" s="293">
        <v>112</v>
      </c>
      <c r="J28" s="152"/>
      <c r="L28" s="152"/>
      <c r="M28" s="152"/>
    </row>
    <row r="29" spans="1:13" s="149" customFormat="1" ht="14.25" x14ac:dyDescent="0.2">
      <c r="A29" s="146" t="str">
        <f>'PROGRAM BUDGET &amp; FISCAL REPORT'!$G$7</f>
        <v>WISE &amp; Healthy Aging</v>
      </c>
      <c r="B29" s="146" t="str">
        <f>'PROGRAM BUDGET &amp; FISCAL REPORT'!$G$8</f>
        <v>WISE Diner</v>
      </c>
      <c r="C29" s="146"/>
      <c r="D29" s="146" t="s">
        <v>188</v>
      </c>
      <c r="E29" s="149" t="s">
        <v>210</v>
      </c>
      <c r="F29" s="217">
        <v>90404</v>
      </c>
      <c r="G29" s="243" t="s">
        <v>196</v>
      </c>
      <c r="H29" s="293">
        <v>53</v>
      </c>
      <c r="I29" s="293">
        <v>59</v>
      </c>
      <c r="J29" s="152"/>
      <c r="L29" s="152"/>
      <c r="M29" s="152"/>
    </row>
    <row r="30" spans="1:13" s="149" customFormat="1" ht="14.25" x14ac:dyDescent="0.2">
      <c r="A30" s="146" t="str">
        <f>'PROGRAM BUDGET &amp; FISCAL REPORT'!$G$7</f>
        <v>WISE &amp; Healthy Aging</v>
      </c>
      <c r="B30" s="146" t="str">
        <f>'PROGRAM BUDGET &amp; FISCAL REPORT'!$G$8</f>
        <v>WISE Diner</v>
      </c>
      <c r="C30" s="146"/>
      <c r="D30" s="146" t="s">
        <v>188</v>
      </c>
      <c r="E30" s="149" t="s">
        <v>210</v>
      </c>
      <c r="F30" s="217">
        <v>90405</v>
      </c>
      <c r="G30" s="243" t="s">
        <v>196</v>
      </c>
      <c r="H30" s="293">
        <v>55</v>
      </c>
      <c r="I30" s="293">
        <v>56</v>
      </c>
      <c r="J30" s="152"/>
      <c r="L30" s="152"/>
      <c r="M30" s="152"/>
    </row>
    <row r="31" spans="1:13" s="149" customFormat="1" ht="14.25" x14ac:dyDescent="0.2">
      <c r="A31" s="146" t="str">
        <f>'PROGRAM BUDGET &amp; FISCAL REPORT'!$G$7</f>
        <v>WISE &amp; Healthy Aging</v>
      </c>
      <c r="B31" s="146" t="str">
        <f>'PROGRAM BUDGET &amp; FISCAL REPORT'!$G$8</f>
        <v>WISE Diner</v>
      </c>
      <c r="C31" s="146"/>
      <c r="D31" s="146" t="s">
        <v>188</v>
      </c>
      <c r="E31" s="149" t="s">
        <v>210</v>
      </c>
      <c r="F31" s="217" t="s">
        <v>211</v>
      </c>
      <c r="G31" s="243" t="s">
        <v>196</v>
      </c>
      <c r="H31" s="293">
        <v>0</v>
      </c>
      <c r="I31" s="293">
        <v>0</v>
      </c>
      <c r="J31" s="152"/>
      <c r="L31" s="152"/>
      <c r="M31" s="152"/>
    </row>
    <row r="32" spans="1:13" s="149" customFormat="1" ht="15" x14ac:dyDescent="0.2">
      <c r="A32" s="146"/>
      <c r="B32" s="146"/>
      <c r="C32" s="146"/>
      <c r="D32" s="146"/>
      <c r="F32" s="218" t="s">
        <v>208</v>
      </c>
      <c r="G32" s="208">
        <f>SUM(G26:G31)</f>
        <v>0</v>
      </c>
      <c r="H32" s="208">
        <f>SUM(H26:H31)</f>
        <v>279</v>
      </c>
      <c r="I32" s="208">
        <f>SUM(I26:I31)</f>
        <v>304</v>
      </c>
      <c r="J32" s="152"/>
      <c r="L32" s="152"/>
      <c r="M32" s="152"/>
    </row>
    <row r="33" spans="1:13" s="149" customFormat="1" ht="15" x14ac:dyDescent="0.2">
      <c r="A33" s="147"/>
      <c r="B33" s="147"/>
      <c r="C33" s="146"/>
      <c r="D33" s="146"/>
      <c r="G33" s="152"/>
      <c r="H33" s="151"/>
      <c r="I33" s="151"/>
      <c r="J33" s="152"/>
      <c r="L33" s="152"/>
      <c r="M33" s="152"/>
    </row>
    <row r="34" spans="1:13" s="149" customFormat="1" ht="30" x14ac:dyDescent="0.2">
      <c r="A34" s="146"/>
      <c r="B34" s="146"/>
      <c r="C34" s="146"/>
      <c r="D34" s="146"/>
      <c r="G34" s="216" t="s">
        <v>186</v>
      </c>
      <c r="H34" s="216" t="s">
        <v>186</v>
      </c>
      <c r="I34" s="216" t="s">
        <v>186</v>
      </c>
      <c r="J34" s="216" t="s">
        <v>187</v>
      </c>
      <c r="K34" s="216" t="s">
        <v>187</v>
      </c>
      <c r="L34" s="216" t="s">
        <v>187</v>
      </c>
    </row>
    <row r="35" spans="1:13" s="149" customFormat="1" ht="30" x14ac:dyDescent="0.2">
      <c r="A35" s="146"/>
      <c r="B35" s="146"/>
      <c r="C35" s="146"/>
      <c r="D35" s="146"/>
      <c r="F35" s="245" t="s">
        <v>212</v>
      </c>
      <c r="G35" s="216" t="s">
        <v>213</v>
      </c>
      <c r="H35" s="216" t="s">
        <v>214</v>
      </c>
      <c r="I35" s="216" t="s">
        <v>215</v>
      </c>
      <c r="J35" s="216" t="s">
        <v>213</v>
      </c>
      <c r="K35" s="216" t="s">
        <v>214</v>
      </c>
      <c r="L35" s="216" t="s">
        <v>215</v>
      </c>
    </row>
    <row r="36" spans="1:13" s="149" customFormat="1" ht="14.25" x14ac:dyDescent="0.2">
      <c r="A36" s="146" t="str">
        <f>'PROGRAM BUDGET &amp; FISCAL REPORT'!$G$7</f>
        <v>WISE &amp; Healthy Aging</v>
      </c>
      <c r="B36" s="146" t="str">
        <f>'PROGRAM BUDGET &amp; FISCAL REPORT'!$G$8</f>
        <v>WISE Diner</v>
      </c>
      <c r="C36" s="146" t="s">
        <v>181</v>
      </c>
      <c r="D36" s="146" t="s">
        <v>188</v>
      </c>
      <c r="E36" s="149" t="s">
        <v>216</v>
      </c>
      <c r="F36" s="209" t="s">
        <v>217</v>
      </c>
      <c r="G36" s="294"/>
      <c r="H36" s="295"/>
      <c r="I36" s="295"/>
      <c r="J36" s="294"/>
      <c r="K36" s="295"/>
      <c r="L36" s="295"/>
    </row>
    <row r="37" spans="1:13" s="149" customFormat="1" ht="14.25" x14ac:dyDescent="0.2">
      <c r="A37" s="146" t="str">
        <f>'PROGRAM BUDGET &amp; FISCAL REPORT'!$G$7</f>
        <v>WISE &amp; Healthy Aging</v>
      </c>
      <c r="B37" s="146" t="str">
        <f>'PROGRAM BUDGET &amp; FISCAL REPORT'!$G$8</f>
        <v>WISE Diner</v>
      </c>
      <c r="C37" s="146" t="s">
        <v>181</v>
      </c>
      <c r="D37" s="146" t="s">
        <v>188</v>
      </c>
      <c r="E37" s="149" t="s">
        <v>216</v>
      </c>
      <c r="F37" s="210" t="s">
        <v>218</v>
      </c>
      <c r="G37" s="294"/>
      <c r="H37" s="295"/>
      <c r="I37" s="295"/>
      <c r="J37" s="294"/>
      <c r="K37" s="295"/>
      <c r="L37" s="295"/>
    </row>
    <row r="38" spans="1:13" s="149" customFormat="1" ht="14.25" x14ac:dyDescent="0.2">
      <c r="A38" s="146" t="str">
        <f>'PROGRAM BUDGET &amp; FISCAL REPORT'!$G$7</f>
        <v>WISE &amp; Healthy Aging</v>
      </c>
      <c r="B38" s="146" t="str">
        <f>'PROGRAM BUDGET &amp; FISCAL REPORT'!$G$8</f>
        <v>WISE Diner</v>
      </c>
      <c r="C38" s="146" t="s">
        <v>181</v>
      </c>
      <c r="D38" s="146" t="s">
        <v>188</v>
      </c>
      <c r="E38" s="149" t="s">
        <v>216</v>
      </c>
      <c r="F38" s="210" t="s">
        <v>219</v>
      </c>
      <c r="G38" s="294"/>
      <c r="H38" s="295"/>
      <c r="I38" s="295"/>
      <c r="J38" s="294"/>
      <c r="K38" s="295"/>
      <c r="L38" s="295"/>
    </row>
    <row r="39" spans="1:13" s="149" customFormat="1" ht="14.25" x14ac:dyDescent="0.2">
      <c r="A39" s="146" t="str">
        <f>'PROGRAM BUDGET &amp; FISCAL REPORT'!$G$7</f>
        <v>WISE &amp; Healthy Aging</v>
      </c>
      <c r="B39" s="146" t="str">
        <f>'PROGRAM BUDGET &amp; FISCAL REPORT'!$G$8</f>
        <v>WISE Diner</v>
      </c>
      <c r="C39" s="146" t="s">
        <v>181</v>
      </c>
      <c r="D39" s="146" t="s">
        <v>188</v>
      </c>
      <c r="E39" s="149" t="s">
        <v>216</v>
      </c>
      <c r="F39" s="209" t="s">
        <v>220</v>
      </c>
      <c r="G39" s="294"/>
      <c r="H39" s="295"/>
      <c r="I39" s="295"/>
      <c r="J39" s="294"/>
      <c r="K39" s="295"/>
      <c r="L39" s="295"/>
    </row>
    <row r="40" spans="1:13" s="149" customFormat="1" ht="14.25" x14ac:dyDescent="0.2">
      <c r="A40" s="146" t="str">
        <f>'PROGRAM BUDGET &amp; FISCAL REPORT'!$G$7</f>
        <v>WISE &amp; Healthy Aging</v>
      </c>
      <c r="B40" s="146" t="str">
        <f>'PROGRAM BUDGET &amp; FISCAL REPORT'!$G$8</f>
        <v>WISE Diner</v>
      </c>
      <c r="C40" s="146" t="s">
        <v>181</v>
      </c>
      <c r="D40" s="146" t="s">
        <v>188</v>
      </c>
      <c r="E40" s="149" t="s">
        <v>216</v>
      </c>
      <c r="F40" s="209" t="s">
        <v>221</v>
      </c>
      <c r="G40" s="294"/>
      <c r="H40" s="295"/>
      <c r="I40" s="295"/>
      <c r="J40" s="294"/>
      <c r="K40" s="295"/>
      <c r="L40" s="295"/>
    </row>
    <row r="41" spans="1:13" s="149" customFormat="1" ht="14.25" x14ac:dyDescent="0.2">
      <c r="A41" s="146" t="str">
        <f>'PROGRAM BUDGET &amp; FISCAL REPORT'!$G$7</f>
        <v>WISE &amp; Healthy Aging</v>
      </c>
      <c r="B41" s="146" t="str">
        <f>'PROGRAM BUDGET &amp; FISCAL REPORT'!$G$8</f>
        <v>WISE Diner</v>
      </c>
      <c r="C41" s="146" t="s">
        <v>181</v>
      </c>
      <c r="D41" s="146" t="s">
        <v>188</v>
      </c>
      <c r="E41" s="149" t="s">
        <v>216</v>
      </c>
      <c r="F41" s="209" t="s">
        <v>222</v>
      </c>
      <c r="G41" s="294"/>
      <c r="H41" s="295"/>
      <c r="I41" s="295"/>
      <c r="J41" s="294"/>
      <c r="K41" s="295"/>
      <c r="L41" s="295"/>
    </row>
    <row r="42" spans="1:13" s="149" customFormat="1" ht="14.25" x14ac:dyDescent="0.2">
      <c r="A42" s="146" t="str">
        <f>'PROGRAM BUDGET &amp; FISCAL REPORT'!$G$7</f>
        <v>WISE &amp; Healthy Aging</v>
      </c>
      <c r="B42" s="146" t="str">
        <f>'PROGRAM BUDGET &amp; FISCAL REPORT'!$G$8</f>
        <v>WISE Diner</v>
      </c>
      <c r="C42" s="146" t="s">
        <v>181</v>
      </c>
      <c r="D42" s="146" t="s">
        <v>188</v>
      </c>
      <c r="E42" s="149" t="s">
        <v>216</v>
      </c>
      <c r="F42" s="209" t="s">
        <v>223</v>
      </c>
      <c r="G42" s="294"/>
      <c r="H42" s="295"/>
      <c r="I42" s="295"/>
      <c r="J42" s="294"/>
      <c r="K42" s="295"/>
      <c r="L42" s="295"/>
    </row>
    <row r="43" spans="1:13" s="149" customFormat="1" ht="14.25" x14ac:dyDescent="0.2">
      <c r="A43" s="146" t="str">
        <f>'PROGRAM BUDGET &amp; FISCAL REPORT'!$G$7</f>
        <v>WISE &amp; Healthy Aging</v>
      </c>
      <c r="B43" s="146" t="str">
        <f>'PROGRAM BUDGET &amp; FISCAL REPORT'!$G$8</f>
        <v>WISE Diner</v>
      </c>
      <c r="C43" s="146" t="s">
        <v>181</v>
      </c>
      <c r="D43" s="146" t="s">
        <v>188</v>
      </c>
      <c r="E43" s="149" t="s">
        <v>216</v>
      </c>
      <c r="F43" s="209" t="s">
        <v>224</v>
      </c>
      <c r="G43" s="295">
        <v>3</v>
      </c>
      <c r="H43" s="295">
        <v>6</v>
      </c>
      <c r="I43" s="295"/>
      <c r="J43" s="295">
        <v>1</v>
      </c>
      <c r="K43" s="295">
        <v>5</v>
      </c>
      <c r="L43" s="295"/>
    </row>
    <row r="44" spans="1:13" s="149" customFormat="1" ht="14.25" x14ac:dyDescent="0.2">
      <c r="A44" s="146" t="str">
        <f>'PROGRAM BUDGET &amp; FISCAL REPORT'!$G$7</f>
        <v>WISE &amp; Healthy Aging</v>
      </c>
      <c r="B44" s="146" t="str">
        <f>'PROGRAM BUDGET &amp; FISCAL REPORT'!$G$8</f>
        <v>WISE Diner</v>
      </c>
      <c r="C44" s="146" t="s">
        <v>181</v>
      </c>
      <c r="D44" s="146" t="s">
        <v>188</v>
      </c>
      <c r="E44" s="149" t="s">
        <v>216</v>
      </c>
      <c r="F44" s="209" t="s">
        <v>225</v>
      </c>
      <c r="G44" s="295">
        <v>26</v>
      </c>
      <c r="H44" s="295">
        <v>39</v>
      </c>
      <c r="I44" s="295"/>
      <c r="J44" s="295">
        <v>30</v>
      </c>
      <c r="K44" s="295">
        <v>46</v>
      </c>
      <c r="L44" s="295"/>
    </row>
    <row r="45" spans="1:13" s="149" customFormat="1" ht="14.25" x14ac:dyDescent="0.2">
      <c r="A45" s="146" t="str">
        <f>'PROGRAM BUDGET &amp; FISCAL REPORT'!$G$7</f>
        <v>WISE &amp; Healthy Aging</v>
      </c>
      <c r="B45" s="146" t="str">
        <f>'PROGRAM BUDGET &amp; FISCAL REPORT'!$G$8</f>
        <v>WISE Diner</v>
      </c>
      <c r="C45" s="146" t="s">
        <v>181</v>
      </c>
      <c r="D45" s="146" t="s">
        <v>188</v>
      </c>
      <c r="E45" s="149" t="s">
        <v>216</v>
      </c>
      <c r="F45" s="209" t="s">
        <v>226</v>
      </c>
      <c r="G45" s="295">
        <v>44</v>
      </c>
      <c r="H45" s="295">
        <v>82</v>
      </c>
      <c r="I45" s="295"/>
      <c r="J45" s="295">
        <v>46</v>
      </c>
      <c r="K45" s="295">
        <v>89</v>
      </c>
      <c r="L45" s="295"/>
    </row>
    <row r="46" spans="1:13" s="149" customFormat="1" ht="14.25" x14ac:dyDescent="0.2">
      <c r="A46" s="146" t="str">
        <f>'PROGRAM BUDGET &amp; FISCAL REPORT'!$G$7</f>
        <v>WISE &amp; Healthy Aging</v>
      </c>
      <c r="B46" s="146" t="str">
        <f>'PROGRAM BUDGET &amp; FISCAL REPORT'!$G$8</f>
        <v>WISE Diner</v>
      </c>
      <c r="C46" s="146" t="s">
        <v>181</v>
      </c>
      <c r="D46" s="146" t="s">
        <v>188</v>
      </c>
      <c r="E46" s="149" t="s">
        <v>216</v>
      </c>
      <c r="F46" s="209" t="s">
        <v>227</v>
      </c>
      <c r="G46" s="295">
        <v>26</v>
      </c>
      <c r="H46" s="295">
        <v>53</v>
      </c>
      <c r="I46" s="295"/>
      <c r="J46" s="295">
        <v>30</v>
      </c>
      <c r="K46" s="295">
        <v>57</v>
      </c>
      <c r="L46" s="295"/>
    </row>
    <row r="47" spans="1:13" ht="15" x14ac:dyDescent="0.2">
      <c r="E47" s="136"/>
      <c r="F47" s="211" t="s">
        <v>208</v>
      </c>
      <c r="G47" s="244">
        <f t="shared" ref="G47:L47" si="0">SUM(G36:G46)</f>
        <v>99</v>
      </c>
      <c r="H47" s="244">
        <f t="shared" si="0"/>
        <v>180</v>
      </c>
      <c r="I47" s="244">
        <f t="shared" si="0"/>
        <v>0</v>
      </c>
      <c r="J47" s="244">
        <f t="shared" si="0"/>
        <v>107</v>
      </c>
      <c r="K47" s="244">
        <f t="shared" si="0"/>
        <v>197</v>
      </c>
      <c r="L47" s="244">
        <f t="shared" si="0"/>
        <v>0</v>
      </c>
      <c r="M47" s="136"/>
    </row>
    <row r="48" spans="1:13" x14ac:dyDescent="0.2">
      <c r="E48" s="136"/>
      <c r="F48" s="140"/>
      <c r="G48" s="142"/>
      <c r="H48" s="60"/>
      <c r="I48" s="142"/>
      <c r="J48" s="142"/>
    </row>
    <row r="49" spans="1:8" s="301" customFormat="1" ht="45" x14ac:dyDescent="0.2">
      <c r="A49" s="296"/>
      <c r="B49" s="296"/>
      <c r="C49" s="296"/>
      <c r="D49" s="297"/>
      <c r="E49" s="298"/>
      <c r="F49" s="245" t="s">
        <v>228</v>
      </c>
      <c r="G49" s="299" t="s">
        <v>185</v>
      </c>
      <c r="H49" s="300" t="s">
        <v>229</v>
      </c>
    </row>
    <row r="50" spans="1:8" s="301" customFormat="1" ht="14.25" x14ac:dyDescent="0.2">
      <c r="A50" s="296"/>
      <c r="B50" s="296"/>
      <c r="C50" s="296"/>
      <c r="D50" s="296"/>
      <c r="F50" s="296"/>
      <c r="G50" s="240">
        <f>IFERROR('PROGRAM BUDGET &amp; FISCAL REPORT'!L18/'PARTICIPANTS &amp; DEMOGRAPHICS'!G6,"N/A")</f>
        <v>661.61142857142852</v>
      </c>
      <c r="H50" s="241">
        <f>IFERROR('PROGRAM BUDGET &amp; FISCAL REPORT'!S18/'PARTICIPANTS &amp; DEMOGRAPHICS'!I6, "N/A")</f>
        <v>608.69230769230774</v>
      </c>
    </row>
  </sheetData>
  <sheetProtection algorithmName="SHA-512" hashValue="e/McE72jKlRN/QKOYCUcvDvyWfmELUc9GprpkYZICcZH2axmQqOfQ0jUKoWzDnPQV1lszZzn6rIViQobapOkdA==" saltValue="IcGH3AV3prNa40vMhjY/qA==" spinCount="100000" sheet="1" objects="1" scenarios="1"/>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19.42578125" style="145" customWidth="1"/>
    <col min="7" max="7" width="31.42578125" style="145" customWidth="1"/>
    <col min="8" max="16384" width="11.42578125" style="143"/>
  </cols>
  <sheetData>
    <row r="1" spans="1:8" ht="18" x14ac:dyDescent="0.25">
      <c r="A1" s="57"/>
      <c r="B1" s="90" t="s">
        <v>20</v>
      </c>
      <c r="C1" s="155"/>
      <c r="D1" s="155"/>
      <c r="E1" s="155"/>
      <c r="F1" s="155" t="s">
        <v>230</v>
      </c>
      <c r="G1" s="143"/>
    </row>
    <row r="2" spans="1:8" ht="18" x14ac:dyDescent="0.25">
      <c r="A2" s="57"/>
      <c r="B2" s="90" t="s">
        <v>231</v>
      </c>
      <c r="C2" s="156"/>
      <c r="D2" s="156"/>
      <c r="E2" s="156"/>
      <c r="F2" s="156"/>
      <c r="G2" s="143"/>
    </row>
    <row r="3" spans="1:8" ht="22.5" customHeight="1" x14ac:dyDescent="0.25">
      <c r="A3" s="57"/>
      <c r="B3" s="104" t="str">
        <f>'PROGRAM BUDGET &amp; FISCAL REPORT'!F7</f>
        <v>AGENCY NAME:</v>
      </c>
      <c r="C3" s="129" t="str">
        <f>'PROGRAM BUDGET &amp; FISCAL REPORT'!G7</f>
        <v>WISE &amp; Healthy Aging</v>
      </c>
      <c r="D3" s="157"/>
      <c r="E3" s="157"/>
      <c r="F3" s="156"/>
      <c r="G3" s="143"/>
    </row>
    <row r="4" spans="1:8" ht="22.5" customHeight="1" x14ac:dyDescent="0.25">
      <c r="A4" s="57"/>
      <c r="B4" s="104" t="str">
        <f>'PROGRAM BUDGET &amp; FISCAL REPORT'!F8</f>
        <v>PROGRAM NAME:</v>
      </c>
      <c r="C4" s="129" t="str">
        <f>'PROGRAM BUDGET &amp; FISCAL REPORT'!G8</f>
        <v>WISE Diner</v>
      </c>
      <c r="D4" s="157"/>
      <c r="E4" s="157"/>
      <c r="F4" s="156"/>
      <c r="G4" s="143"/>
    </row>
    <row r="5" spans="1:8" ht="8.25" customHeight="1" thickBot="1" x14ac:dyDescent="0.25">
      <c r="A5" s="57"/>
      <c r="B5" s="91"/>
      <c r="C5" s="156"/>
      <c r="D5" s="156"/>
      <c r="E5" s="156"/>
      <c r="F5" s="156"/>
      <c r="G5" s="143"/>
    </row>
    <row r="6" spans="1:8" ht="52.5" customHeight="1" x14ac:dyDescent="0.55000000000000004">
      <c r="B6" s="158" t="s">
        <v>232</v>
      </c>
      <c r="C6" s="159" t="s">
        <v>233</v>
      </c>
      <c r="D6" s="159"/>
      <c r="E6" s="159" t="s">
        <v>234</v>
      </c>
      <c r="F6" s="160"/>
      <c r="G6" s="143"/>
    </row>
    <row r="7" spans="1:8" ht="14.25" x14ac:dyDescent="0.2">
      <c r="B7" s="161" t="s">
        <v>235</v>
      </c>
      <c r="C7" s="162">
        <f>'PARTICIPANTS &amp; DEMOGRAPHICS'!G6</f>
        <v>350</v>
      </c>
      <c r="D7" s="163"/>
      <c r="E7" s="163">
        <f>'PARTICIPANTS &amp; DEMOGRAPHICS'!I6</f>
        <v>364</v>
      </c>
      <c r="F7" s="164"/>
      <c r="G7" s="143"/>
    </row>
    <row r="8" spans="1:8" ht="14.25" x14ac:dyDescent="0.2">
      <c r="B8" s="165" t="s">
        <v>236</v>
      </c>
      <c r="C8" s="162">
        <f>'PARTICIPANTS &amp; DEMOGRAPHICS'!G7</f>
        <v>300</v>
      </c>
      <c r="D8" s="163"/>
      <c r="E8" s="163">
        <f>'PARTICIPANTS &amp; DEMOGRAPHICS'!I7</f>
        <v>304</v>
      </c>
      <c r="F8" s="164"/>
      <c r="G8" s="143"/>
    </row>
    <row r="9" spans="1:8" ht="14.25" x14ac:dyDescent="0.2">
      <c r="B9" s="161" t="s">
        <v>237</v>
      </c>
      <c r="C9" s="207">
        <f>IFERROR(C8/C7, "N/A")</f>
        <v>0.8571428571428571</v>
      </c>
      <c r="D9" s="167"/>
      <c r="E9" s="167">
        <f>IFERROR(E8/E7, "N/A")</f>
        <v>0.8351648351648352</v>
      </c>
      <c r="F9" s="164"/>
      <c r="G9" s="143"/>
    </row>
    <row r="10" spans="1:8" ht="14.25" x14ac:dyDescent="0.2">
      <c r="B10" s="161"/>
      <c r="C10" s="166"/>
      <c r="D10" s="167"/>
      <c r="E10" s="162"/>
      <c r="F10" s="164"/>
      <c r="G10" s="143"/>
    </row>
    <row r="11" spans="1:8" ht="63.75" customHeight="1" x14ac:dyDescent="0.55000000000000004">
      <c r="B11" s="168" t="s">
        <v>238</v>
      </c>
      <c r="C11" s="272" t="s">
        <v>239</v>
      </c>
      <c r="D11" s="272" t="s">
        <v>240</v>
      </c>
      <c r="E11" s="272" t="s">
        <v>241</v>
      </c>
      <c r="F11" s="273" t="s">
        <v>242</v>
      </c>
      <c r="G11" s="143"/>
    </row>
    <row r="12" spans="1:8" ht="16.5" customHeight="1" x14ac:dyDescent="0.2">
      <c r="B12" s="161" t="s">
        <v>243</v>
      </c>
      <c r="C12" s="169">
        <f>'PROGRAM BUDGET &amp; FISCAL REPORT'!L18</f>
        <v>231564</v>
      </c>
      <c r="D12" s="169">
        <f>'PROGRAM BUDGET &amp; FISCAL REPORT'!M18</f>
        <v>221564</v>
      </c>
      <c r="E12" s="169">
        <f>'PROGRAM BUDGET &amp; FISCAL REPORT'!S18</f>
        <v>221564</v>
      </c>
      <c r="F12" s="170">
        <f>'PROGRAM BUDGET &amp; FISCAL REPORT'!Q18</f>
        <v>221564</v>
      </c>
      <c r="G12" s="143"/>
    </row>
    <row r="13" spans="1:8" ht="16.5" customHeight="1" x14ac:dyDescent="0.2">
      <c r="B13" s="161"/>
      <c r="C13" s="169"/>
      <c r="D13" s="169"/>
      <c r="E13" s="169"/>
      <c r="F13" s="170"/>
      <c r="G13" s="143"/>
    </row>
    <row r="14" spans="1:8" ht="19.5" x14ac:dyDescent="0.55000000000000004">
      <c r="B14" s="168" t="s">
        <v>244</v>
      </c>
      <c r="C14" s="321" t="s">
        <v>245</v>
      </c>
      <c r="D14" s="321"/>
      <c r="E14" s="321" t="s">
        <v>246</v>
      </c>
      <c r="F14" s="322"/>
      <c r="G14" s="143"/>
    </row>
    <row r="15" spans="1:8" ht="14.25" x14ac:dyDescent="0.2">
      <c r="B15" s="161" t="s">
        <v>247</v>
      </c>
      <c r="C15" s="95">
        <f>IFERROR(C12*C9,"N/A")</f>
        <v>198483.42857142855</v>
      </c>
      <c r="D15" s="171">
        <f>IFERROR(C15/C12,"N/A")</f>
        <v>0.8571428571428571</v>
      </c>
      <c r="E15" s="172">
        <f>IFERROR(E12*E9,"N/A")</f>
        <v>185042.46153846153</v>
      </c>
      <c r="F15" s="173">
        <f>IFERROR(E15/E12,"N/A")</f>
        <v>0.83516483516483508</v>
      </c>
      <c r="G15" s="143"/>
    </row>
    <row r="16" spans="1:8" ht="14.25" x14ac:dyDescent="0.2">
      <c r="B16" s="161" t="s">
        <v>248</v>
      </c>
      <c r="C16" s="95">
        <f>D12</f>
        <v>221564</v>
      </c>
      <c r="D16" s="171">
        <f>IFERROR(C16/C15, "N/A")</f>
        <v>1.1162846268562183</v>
      </c>
      <c r="E16" s="172">
        <f>F12</f>
        <v>221564</v>
      </c>
      <c r="F16" s="173">
        <f>IFERROR(E16/E15, "N/A")</f>
        <v>1.1973684210526316</v>
      </c>
      <c r="G16" s="143"/>
      <c r="H16" s="144"/>
    </row>
    <row r="17" spans="2:7" ht="15" thickBot="1" x14ac:dyDescent="0.25">
      <c r="B17" s="161"/>
      <c r="C17" s="95"/>
      <c r="D17" s="171"/>
      <c r="E17" s="172"/>
      <c r="F17" s="173"/>
      <c r="G17" s="143"/>
    </row>
    <row r="18" spans="2:7" ht="15.75" thickBot="1" x14ac:dyDescent="0.3">
      <c r="B18" s="174" t="s">
        <v>249</v>
      </c>
      <c r="C18" s="130">
        <f>IFERROR(C15-C16,"N/A")</f>
        <v>-23080.571428571449</v>
      </c>
      <c r="D18" s="175">
        <f>IFERROR(C18/C15, "N/A")</f>
        <v>-0.11628462685621842</v>
      </c>
      <c r="E18" s="130">
        <f>IFERROR(E15-E16, "N/A")</f>
        <v>-36521.538461538468</v>
      </c>
      <c r="F18" s="176">
        <f>IFERROR(E18/E15, "N/A")</f>
        <v>-0.19736842105263161</v>
      </c>
      <c r="G18" s="143"/>
    </row>
    <row r="19" spans="2:7" ht="30.75" thickBot="1" x14ac:dyDescent="0.3">
      <c r="B19" s="161"/>
      <c r="C19" s="177"/>
      <c r="D19" s="242" t="s">
        <v>250</v>
      </c>
      <c r="E19" s="163"/>
      <c r="F19" s="242" t="s">
        <v>250</v>
      </c>
    </row>
    <row r="20" spans="2:7" s="116" customFormat="1" ht="12.75" x14ac:dyDescent="0.2">
      <c r="B20" s="178"/>
      <c r="C20" s="128"/>
      <c r="D20" s="128"/>
      <c r="E20" s="128"/>
      <c r="F20" s="128"/>
      <c r="G20" s="145"/>
    </row>
  </sheetData>
  <sheetProtection algorithmName="SHA-512" hashValue="NfpJXik5rvvvvia5YTFqgW03y0QAagRwoVwc7ltwKbV18mrotia0v2oVd0lPTLkOxq6b8BzpcFGRySzVNIjzxg==" saltValue="/sh0F+7JL3pqpaCZQ26WPg=="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0D2D9113-D311-4AA3-B1F3-46DEC45391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2023-02-16T23:59:09Z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