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1 YE Source Docs/2021 FISCAL DONE/"/>
    </mc:Choice>
  </mc:AlternateContent>
  <xr:revisionPtr revIDLastSave="73" documentId="11_34F80DED0938D13C72EBD0358939FD899CA121A9" xr6:coauthVersionLast="46" xr6:coauthVersionMax="47" xr10:uidLastSave="{232378F4-5961-41AD-82F1-061304433FBA}"/>
  <workbookProtection workbookAlgorithmName="SHA-512" workbookHashValue="fGKkYcvuxGwO64fUOZGZU+LAhbDlT4/vJi06eMbNGQvyoPl5ln09nI3kPQ+rkeBovlN0rJVg0Db2213FyUndng==" workbookSaltValue="w/Md19yHhpQZCUuMJXsOIA==" workbookSpinCount="100000" lockStructure="1"/>
  <bookViews>
    <workbookView xWindow="-120" yWindow="-120" windowWidth="29040" windowHeight="15840" xr2:uid="{00000000-000D-0000-FFFF-FFFF00000000}"/>
  </bookViews>
  <sheets>
    <sheet name="INSTRUCTIONS" sheetId="28" r:id="rId1"/>
    <sheet name="PROGRAM BUDGET &amp; FISCAL REPORT" sheetId="19" r:id="rId2"/>
    <sheet name="PARTICIPANTS &amp; DEMOGRAPHICS" sheetId="26" r:id="rId3"/>
    <sheet name="CASH MATCH" sheetId="1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6" i="19" l="1"/>
  <c r="S30" i="19"/>
  <c r="S38" i="19" s="1"/>
  <c r="J35" i="19"/>
  <c r="J34" i="19"/>
  <c r="J33" i="19"/>
  <c r="J32" i="19"/>
  <c r="J31" i="19"/>
  <c r="J29" i="19"/>
  <c r="J28" i="19"/>
  <c r="P28" i="19"/>
  <c r="P57" i="19"/>
  <c r="P96" i="19"/>
  <c r="P97" i="19"/>
  <c r="P127" i="19"/>
  <c r="P99" i="19"/>
  <c r="P89" i="19"/>
  <c r="P58" i="19"/>
  <c r="P56" i="19"/>
  <c r="K36" i="19" l="1"/>
  <c r="K30" i="19"/>
  <c r="K38" i="19"/>
  <c r="P55" i="19"/>
  <c r="P47" i="19"/>
  <c r="P46" i="19"/>
  <c r="P43" i="19"/>
  <c r="P31" i="19" l="1"/>
  <c r="P36" i="19" s="1"/>
  <c r="P29" i="19"/>
  <c r="P30" i="19" s="1"/>
  <c r="P38" i="19" l="1"/>
  <c r="Q35" i="19"/>
  <c r="R35" i="19" s="1"/>
  <c r="N35" i="19"/>
  <c r="Q34" i="19"/>
  <c r="R34" i="19" s="1"/>
  <c r="N34" i="19"/>
  <c r="M33" i="19"/>
  <c r="M32" i="19"/>
  <c r="L33" i="19"/>
  <c r="L32" i="19"/>
  <c r="M31" i="19"/>
  <c r="M36" i="19" s="1"/>
  <c r="L31" i="19"/>
  <c r="M28" i="19"/>
  <c r="M30" i="19" s="1"/>
  <c r="M38" i="19" s="1"/>
  <c r="L28" i="19"/>
  <c r="L30" i="19" s="1"/>
  <c r="L36" i="19" l="1"/>
  <c r="L38" i="19"/>
  <c r="N57" i="19"/>
  <c r="Q57" i="19"/>
  <c r="R57" i="19" s="1"/>
  <c r="O56" i="19" l="1"/>
  <c r="O45" i="19"/>
  <c r="O43" i="19"/>
  <c r="O127" i="19"/>
  <c r="O99" i="19"/>
  <c r="O97" i="19"/>
  <c r="O96" i="19"/>
  <c r="O55" i="19"/>
  <c r="O47" i="19"/>
  <c r="O46" i="19"/>
  <c r="O44" i="19"/>
  <c r="O33" i="19"/>
  <c r="O32" i="19"/>
  <c r="O31" i="19"/>
  <c r="O28" i="19"/>
  <c r="O30" i="19" s="1"/>
  <c r="S113" i="19"/>
  <c r="O36" i="19" l="1"/>
  <c r="O38" i="19" s="1"/>
  <c r="O7" i="19" s="1"/>
  <c r="L47" i="26"/>
  <c r="K47" i="26"/>
  <c r="J47" i="26"/>
  <c r="C8" i="14"/>
  <c r="C7" i="14"/>
  <c r="S129" i="19"/>
  <c r="S17" i="19" s="1"/>
  <c r="P129" i="19"/>
  <c r="P17" i="19" s="1"/>
  <c r="O129" i="19"/>
  <c r="O17" i="19" s="1"/>
  <c r="M129" i="19"/>
  <c r="M17" i="19" s="1"/>
  <c r="L129" i="19"/>
  <c r="L17" i="19" s="1"/>
  <c r="Q128" i="19"/>
  <c r="R128" i="19" s="1"/>
  <c r="N128" i="19"/>
  <c r="B128" i="19"/>
  <c r="A128" i="19"/>
  <c r="M49" i="19"/>
  <c r="M8" i="19" s="1"/>
  <c r="L49" i="19"/>
  <c r="L8" i="19" s="1"/>
  <c r="M7" i="19"/>
  <c r="L7" i="19"/>
  <c r="B118" i="19"/>
  <c r="A118" i="19"/>
  <c r="B112" i="19"/>
  <c r="A112" i="19"/>
  <c r="B111" i="19"/>
  <c r="A111" i="19"/>
  <c r="B105" i="19"/>
  <c r="A105" i="19"/>
  <c r="B104" i="19"/>
  <c r="A104" i="19"/>
  <c r="B103" i="19"/>
  <c r="A103" i="19"/>
  <c r="B102" i="19"/>
  <c r="A102" i="19"/>
  <c r="B101" i="19"/>
  <c r="A101" i="19"/>
  <c r="B100" i="19"/>
  <c r="A100" i="19"/>
  <c r="B99" i="19"/>
  <c r="A99" i="19"/>
  <c r="B98" i="19"/>
  <c r="A98" i="19"/>
  <c r="B97" i="19"/>
  <c r="A97" i="19"/>
  <c r="B90" i="19"/>
  <c r="A90" i="19"/>
  <c r="B83" i="19"/>
  <c r="A83" i="19"/>
  <c r="B82" i="19"/>
  <c r="A82" i="19"/>
  <c r="B76" i="19"/>
  <c r="A76" i="19"/>
  <c r="B69" i="19"/>
  <c r="A69" i="19"/>
  <c r="B68" i="19"/>
  <c r="A68" i="19"/>
  <c r="B67" i="19"/>
  <c r="A67" i="19"/>
  <c r="B60" i="19"/>
  <c r="A60" i="19"/>
  <c r="B59" i="19"/>
  <c r="A59" i="19"/>
  <c r="B58" i="19"/>
  <c r="A58" i="19"/>
  <c r="B56" i="19"/>
  <c r="A56" i="19"/>
  <c r="B48" i="19"/>
  <c r="A48" i="19"/>
  <c r="B47" i="19"/>
  <c r="A47" i="19"/>
  <c r="B46" i="19"/>
  <c r="A46" i="19"/>
  <c r="B45" i="19"/>
  <c r="A45" i="19"/>
  <c r="B44" i="19"/>
  <c r="A44" i="19"/>
  <c r="B43" i="19"/>
  <c r="A43" i="19"/>
  <c r="P70" i="19"/>
  <c r="P10" i="19" s="1"/>
  <c r="M84" i="19"/>
  <c r="M12" i="19" s="1"/>
  <c r="O84" i="19"/>
  <c r="O12" i="19" s="1"/>
  <c r="P84" i="19"/>
  <c r="P12" i="19" s="1"/>
  <c r="S84" i="19"/>
  <c r="S12" i="19" s="1"/>
  <c r="L84" i="19"/>
  <c r="L12" i="19" s="1"/>
  <c r="E7" i="14"/>
  <c r="N119" i="19"/>
  <c r="N118" i="19"/>
  <c r="N112" i="19"/>
  <c r="N111" i="19"/>
  <c r="N105" i="19"/>
  <c r="N104" i="19"/>
  <c r="N103" i="19"/>
  <c r="N102" i="19"/>
  <c r="N101" i="19"/>
  <c r="N100" i="19"/>
  <c r="N99" i="19"/>
  <c r="N98" i="19"/>
  <c r="N97" i="19"/>
  <c r="N96" i="19"/>
  <c r="N90" i="19"/>
  <c r="N89" i="19"/>
  <c r="N83" i="19"/>
  <c r="N82" i="19"/>
  <c r="N76" i="19"/>
  <c r="N75" i="19"/>
  <c r="N68" i="19"/>
  <c r="N67" i="19"/>
  <c r="N66" i="19"/>
  <c r="Q119" i="19"/>
  <c r="R119" i="19" s="1"/>
  <c r="Q112" i="19"/>
  <c r="R112" i="19" s="1"/>
  <c r="Q105" i="19"/>
  <c r="R105" i="19" s="1"/>
  <c r="Q104" i="19"/>
  <c r="R104" i="19" s="1"/>
  <c r="Q103" i="19"/>
  <c r="R103" i="19" s="1"/>
  <c r="Q102" i="19"/>
  <c r="R102" i="19" s="1"/>
  <c r="Q101" i="19"/>
  <c r="R101" i="19" s="1"/>
  <c r="Q100" i="19"/>
  <c r="R100" i="19" s="1"/>
  <c r="Q99" i="19"/>
  <c r="R99" i="19" s="1"/>
  <c r="Q98" i="19"/>
  <c r="R98" i="19" s="1"/>
  <c r="Q90" i="19"/>
  <c r="R90" i="19" s="1"/>
  <c r="Q83" i="19"/>
  <c r="R83" i="19" s="1"/>
  <c r="Q82" i="19"/>
  <c r="R82" i="19" s="1"/>
  <c r="Q76" i="19"/>
  <c r="R76" i="19" s="1"/>
  <c r="Q69" i="19"/>
  <c r="R69" i="19" s="1"/>
  <c r="N69" i="19"/>
  <c r="Q68" i="19"/>
  <c r="R68" i="19" s="1"/>
  <c r="N56" i="19"/>
  <c r="Q56" i="19"/>
  <c r="R56" i="19" s="1"/>
  <c r="N58" i="19"/>
  <c r="Q58" i="19"/>
  <c r="R58" i="19" s="1"/>
  <c r="N59" i="19"/>
  <c r="Q59" i="19"/>
  <c r="R59" i="19" s="1"/>
  <c r="N60" i="19"/>
  <c r="Q60" i="19"/>
  <c r="R60" i="19" s="1"/>
  <c r="N44" i="19"/>
  <c r="Q44" i="19"/>
  <c r="N45" i="19"/>
  <c r="Q45" i="19"/>
  <c r="R45" i="19" s="1"/>
  <c r="N46" i="19"/>
  <c r="Q46" i="19"/>
  <c r="R46" i="19" s="1"/>
  <c r="N47" i="19"/>
  <c r="Q47" i="19"/>
  <c r="R47" i="19" s="1"/>
  <c r="N48" i="19"/>
  <c r="Q48" i="19"/>
  <c r="R48" i="19" s="1"/>
  <c r="N28" i="19"/>
  <c r="E8" i="14"/>
  <c r="E9" i="14" s="1"/>
  <c r="B46" i="26"/>
  <c r="B45" i="26"/>
  <c r="B44" i="26"/>
  <c r="B43" i="26"/>
  <c r="B42" i="26"/>
  <c r="B41" i="26"/>
  <c r="B40" i="26"/>
  <c r="B39" i="26"/>
  <c r="B38" i="26"/>
  <c r="B37" i="26"/>
  <c r="B36" i="26"/>
  <c r="B31" i="26"/>
  <c r="B30" i="26"/>
  <c r="B29" i="26"/>
  <c r="B28" i="26"/>
  <c r="B27" i="26"/>
  <c r="B26" i="26"/>
  <c r="E136" i="19"/>
  <c r="E137" i="19"/>
  <c r="E138" i="19"/>
  <c r="E139" i="19"/>
  <c r="E140" i="19"/>
  <c r="E135" i="19"/>
  <c r="N37" i="19"/>
  <c r="N33" i="19"/>
  <c r="N32" i="19"/>
  <c r="N31" i="19"/>
  <c r="N29" i="19"/>
  <c r="N43" i="19"/>
  <c r="L106" i="19"/>
  <c r="L14" i="19" s="1"/>
  <c r="Q89" i="19"/>
  <c r="R89" i="19" s="1"/>
  <c r="P77" i="19"/>
  <c r="P11" i="19" s="1"/>
  <c r="Q67" i="19"/>
  <c r="R67" i="19" s="1"/>
  <c r="Q66" i="19"/>
  <c r="R66" i="19" s="1"/>
  <c r="O70" i="19"/>
  <c r="O10" i="19" s="1"/>
  <c r="Q37" i="19"/>
  <c r="R37" i="19" s="1"/>
  <c r="L70" i="19"/>
  <c r="L10" i="19" s="1"/>
  <c r="M70" i="19"/>
  <c r="M10" i="19" s="1"/>
  <c r="A37" i="19"/>
  <c r="B37" i="19"/>
  <c r="S7" i="19"/>
  <c r="S49" i="19"/>
  <c r="S8" i="19" s="1"/>
  <c r="S61" i="19"/>
  <c r="S9" i="19" s="1"/>
  <c r="S70" i="19"/>
  <c r="S10" i="19" s="1"/>
  <c r="S77" i="19"/>
  <c r="S11" i="19" s="1"/>
  <c r="S91" i="19"/>
  <c r="S13" i="19" s="1"/>
  <c r="S106" i="19"/>
  <c r="S14" i="19" s="1"/>
  <c r="O113" i="19"/>
  <c r="O15" i="19" s="1"/>
  <c r="P113" i="19"/>
  <c r="P15" i="19" s="1"/>
  <c r="S120" i="19"/>
  <c r="S16" i="19" s="1"/>
  <c r="Q28" i="19"/>
  <c r="Q29" i="19"/>
  <c r="R29" i="19" s="1"/>
  <c r="Q31" i="19"/>
  <c r="Q32" i="19"/>
  <c r="R32" i="19" s="1"/>
  <c r="Q33" i="19"/>
  <c r="R33" i="19" s="1"/>
  <c r="Q43" i="19"/>
  <c r="R43" i="19" s="1"/>
  <c r="I47" i="26"/>
  <c r="H47" i="26"/>
  <c r="G47" i="26"/>
  <c r="A46" i="26"/>
  <c r="A45" i="26"/>
  <c r="A44" i="26"/>
  <c r="A43" i="26"/>
  <c r="A42" i="26"/>
  <c r="A41" i="26"/>
  <c r="A40" i="26"/>
  <c r="A39" i="26"/>
  <c r="A38" i="26"/>
  <c r="A37" i="26"/>
  <c r="A36" i="26"/>
  <c r="I32" i="26"/>
  <c r="H32" i="26"/>
  <c r="G32" i="26"/>
  <c r="A31" i="26"/>
  <c r="A30" i="26"/>
  <c r="A29" i="26"/>
  <c r="A28" i="26"/>
  <c r="A27" i="26"/>
  <c r="A26" i="26"/>
  <c r="I23" i="26"/>
  <c r="H23" i="26"/>
  <c r="G23" i="26"/>
  <c r="B22" i="26"/>
  <c r="A22" i="26"/>
  <c r="B21" i="26"/>
  <c r="A21" i="26"/>
  <c r="B20" i="26"/>
  <c r="A20" i="26"/>
  <c r="B19" i="26"/>
  <c r="A19" i="26"/>
  <c r="B18" i="26"/>
  <c r="A18" i="26"/>
  <c r="B17" i="26"/>
  <c r="A17" i="26"/>
  <c r="B16" i="26"/>
  <c r="A16" i="26"/>
  <c r="B13" i="26"/>
  <c r="A13" i="26"/>
  <c r="B12" i="26"/>
  <c r="A12" i="26"/>
  <c r="B11" i="26"/>
  <c r="A11" i="26"/>
  <c r="B10" i="26"/>
  <c r="A10" i="26"/>
  <c r="B9" i="26"/>
  <c r="A9" i="26"/>
  <c r="B8" i="26"/>
  <c r="A8" i="26"/>
  <c r="B7" i="26"/>
  <c r="A7" i="26"/>
  <c r="B6" i="26"/>
  <c r="A6" i="26"/>
  <c r="Q140" i="19"/>
  <c r="Q139" i="19"/>
  <c r="Q138" i="19"/>
  <c r="Q137" i="19"/>
  <c r="Q136" i="19"/>
  <c r="Q135" i="19"/>
  <c r="M77" i="19"/>
  <c r="M11" i="19" s="1"/>
  <c r="C3" i="14"/>
  <c r="C4" i="14"/>
  <c r="B4" i="14"/>
  <c r="B3" i="14"/>
  <c r="B140" i="19"/>
  <c r="A140" i="19"/>
  <c r="B139" i="19"/>
  <c r="A139" i="19"/>
  <c r="B138" i="19"/>
  <c r="A138" i="19"/>
  <c r="B137" i="19"/>
  <c r="A137" i="19"/>
  <c r="B136" i="19"/>
  <c r="A136" i="19"/>
  <c r="B135" i="19"/>
  <c r="A135" i="19"/>
  <c r="P141" i="19"/>
  <c r="O141" i="19"/>
  <c r="N141" i="19"/>
  <c r="B96" i="19"/>
  <c r="A96" i="19"/>
  <c r="B33" i="19"/>
  <c r="A33" i="19"/>
  <c r="B32" i="19"/>
  <c r="A32" i="19"/>
  <c r="B31" i="19"/>
  <c r="A31" i="19"/>
  <c r="B29" i="19"/>
  <c r="A29" i="19"/>
  <c r="B89" i="19"/>
  <c r="A89" i="19"/>
  <c r="B75" i="19"/>
  <c r="A75" i="19"/>
  <c r="B66" i="19"/>
  <c r="A66" i="19"/>
  <c r="B55" i="19"/>
  <c r="A55" i="19"/>
  <c r="B42" i="19"/>
  <c r="A42" i="19"/>
  <c r="B28" i="19"/>
  <c r="A28" i="19"/>
  <c r="L61" i="19"/>
  <c r="L9" i="19" s="1"/>
  <c r="L91" i="19"/>
  <c r="L13" i="19" s="1"/>
  <c r="L113" i="19"/>
  <c r="L15" i="19" s="1"/>
  <c r="L120" i="19"/>
  <c r="L16" i="19" s="1"/>
  <c r="M61" i="19"/>
  <c r="M9" i="19" s="1"/>
  <c r="M91" i="19"/>
  <c r="M13" i="19" s="1"/>
  <c r="M106" i="19"/>
  <c r="M14" i="19" s="1"/>
  <c r="M113" i="19"/>
  <c r="M15" i="19" s="1"/>
  <c r="M120" i="19"/>
  <c r="M16" i="19" s="1"/>
  <c r="Q55" i="19"/>
  <c r="R55" i="19" s="1"/>
  <c r="N127" i="19"/>
  <c r="N55" i="19"/>
  <c r="Q97" i="19"/>
  <c r="R97" i="19" s="1"/>
  <c r="Q127" i="19"/>
  <c r="R127" i="19" s="1"/>
  <c r="B127" i="19"/>
  <c r="A127" i="19"/>
  <c r="P120" i="19"/>
  <c r="P16" i="19" s="1"/>
  <c r="O120" i="19"/>
  <c r="O16" i="19" s="1"/>
  <c r="Q118" i="19"/>
  <c r="R118" i="19" s="1"/>
  <c r="B119" i="19"/>
  <c r="A119" i="19"/>
  <c r="Q111" i="19"/>
  <c r="R111" i="19" s="1"/>
  <c r="Q96" i="19"/>
  <c r="R96" i="19" s="1"/>
  <c r="P106" i="19"/>
  <c r="P14" i="19" s="1"/>
  <c r="O106" i="19"/>
  <c r="O14" i="19" s="1"/>
  <c r="P91" i="19"/>
  <c r="P13" i="19" s="1"/>
  <c r="O91" i="19"/>
  <c r="O13" i="19" s="1"/>
  <c r="O77" i="19"/>
  <c r="O11" i="19" s="1"/>
  <c r="Q75" i="19"/>
  <c r="R75" i="19" s="1"/>
  <c r="P61" i="19"/>
  <c r="P9" i="19" s="1"/>
  <c r="O61" i="19"/>
  <c r="O9" i="19" s="1"/>
  <c r="P49" i="19"/>
  <c r="P8" i="19" s="1"/>
  <c r="O49" i="19"/>
  <c r="O8" i="19" s="1"/>
  <c r="P7" i="19"/>
  <c r="B17" i="19"/>
  <c r="A17" i="19"/>
  <c r="B16" i="19"/>
  <c r="A16" i="19"/>
  <c r="B15" i="19"/>
  <c r="A15" i="19"/>
  <c r="B14" i="19"/>
  <c r="A14" i="19"/>
  <c r="B13" i="19"/>
  <c r="A13" i="19"/>
  <c r="B12" i="19"/>
  <c r="A12" i="19"/>
  <c r="B11" i="19"/>
  <c r="A11" i="19"/>
  <c r="B10" i="19"/>
  <c r="A10" i="19"/>
  <c r="B9" i="19"/>
  <c r="A9" i="19"/>
  <c r="B8" i="19"/>
  <c r="A8" i="19"/>
  <c r="B7" i="19"/>
  <c r="A7" i="19"/>
  <c r="B6" i="19"/>
  <c r="A6" i="19"/>
  <c r="L77" i="19"/>
  <c r="L11" i="19" s="1"/>
  <c r="N36" i="19" l="1"/>
  <c r="R31" i="19"/>
  <c r="Q36" i="19"/>
  <c r="R36" i="19" s="1"/>
  <c r="R28" i="19"/>
  <c r="Q30" i="19"/>
  <c r="N30" i="19"/>
  <c r="N38" i="19" s="1"/>
  <c r="C9" i="14"/>
  <c r="N129" i="19"/>
  <c r="N10" i="19"/>
  <c r="N12" i="19"/>
  <c r="N9" i="19"/>
  <c r="N77" i="19"/>
  <c r="N17" i="19"/>
  <c r="N15" i="19"/>
  <c r="N84" i="19"/>
  <c r="N91" i="19"/>
  <c r="N106" i="19"/>
  <c r="N113" i="19"/>
  <c r="N11" i="19"/>
  <c r="Q141" i="19"/>
  <c r="N8" i="19"/>
  <c r="N14" i="19"/>
  <c r="N16" i="19"/>
  <c r="Q77" i="19"/>
  <c r="Q11" i="19" s="1"/>
  <c r="R11" i="19" s="1"/>
  <c r="L131" i="19"/>
  <c r="O131" i="19"/>
  <c r="N13" i="19"/>
  <c r="O18" i="19"/>
  <c r="N7" i="19"/>
  <c r="L18" i="19"/>
  <c r="P18" i="19"/>
  <c r="M18" i="19"/>
  <c r="D12" i="14" s="1"/>
  <c r="C16" i="14" s="1"/>
  <c r="N61" i="19"/>
  <c r="N49" i="19"/>
  <c r="Q70" i="19"/>
  <c r="R70" i="19" s="1"/>
  <c r="N70" i="19"/>
  <c r="Q49" i="19"/>
  <c r="R49" i="19" s="1"/>
  <c r="N120" i="19"/>
  <c r="M131" i="19"/>
  <c r="K128" i="19" s="1"/>
  <c r="P131" i="19"/>
  <c r="Q106" i="19"/>
  <c r="R106" i="19" s="1"/>
  <c r="Q129" i="19"/>
  <c r="Q61" i="19"/>
  <c r="R61" i="19" s="1"/>
  <c r="Q84" i="19"/>
  <c r="R84" i="19" s="1"/>
  <c r="Q91" i="19"/>
  <c r="Q13" i="19" s="1"/>
  <c r="R13" i="19" s="1"/>
  <c r="Q113" i="19"/>
  <c r="Q15" i="19" s="1"/>
  <c r="R15" i="19" s="1"/>
  <c r="Q120" i="19"/>
  <c r="R120" i="19" s="1"/>
  <c r="R44" i="19"/>
  <c r="R30" i="19" l="1"/>
  <c r="Q38" i="19"/>
  <c r="Q7" i="19"/>
  <c r="Q12" i="19"/>
  <c r="R12" i="19" s="1"/>
  <c r="R91" i="19"/>
  <c r="C12" i="14"/>
  <c r="C15" i="14" s="1"/>
  <c r="C18" i="14" s="1"/>
  <c r="D18" i="14" s="1"/>
  <c r="G50" i="26"/>
  <c r="Q14" i="19"/>
  <c r="R14" i="19" s="1"/>
  <c r="Q131" i="19"/>
  <c r="R131" i="19" s="1"/>
  <c r="Q8" i="19"/>
  <c r="R8" i="19" s="1"/>
  <c r="R77" i="19"/>
  <c r="R38" i="19"/>
  <c r="R113" i="19"/>
  <c r="Q9" i="19"/>
  <c r="R9" i="19" s="1"/>
  <c r="N131" i="19"/>
  <c r="N18" i="19"/>
  <c r="S15" i="19"/>
  <c r="S18" i="19" s="1"/>
  <c r="S131" i="19"/>
  <c r="Q10" i="19"/>
  <c r="R10" i="19" s="1"/>
  <c r="R129" i="19"/>
  <c r="Q17" i="19"/>
  <c r="R17" i="19" s="1"/>
  <c r="Q16" i="19"/>
  <c r="R16" i="19" s="1"/>
  <c r="R7" i="19"/>
  <c r="D15" i="14" l="1"/>
  <c r="D16" i="14"/>
  <c r="E12" i="14"/>
  <c r="E15" i="14" s="1"/>
  <c r="F15" i="14" s="1"/>
  <c r="H50" i="26"/>
  <c r="Q18" i="19"/>
  <c r="R18" i="19" s="1"/>
  <c r="G15" i="19" l="1"/>
  <c r="G16" i="19" s="1"/>
  <c r="F12" i="14"/>
  <c r="E16" i="14" s="1"/>
  <c r="F16" i="14" s="1"/>
  <c r="E18" i="14" l="1"/>
  <c r="R141" i="19" l="1"/>
  <c r="S141" i="19" s="1"/>
  <c r="F18" i="14"/>
</calcChain>
</file>

<file path=xl/sharedStrings.xml><?xml version="1.0" encoding="utf-8"?>
<sst xmlns="http://schemas.openxmlformats.org/spreadsheetml/2006/main" count="578" uniqueCount="253">
  <si>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</si>
  <si>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</si>
  <si>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</si>
  <si>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</si>
  <si>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</si>
  <si>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</si>
  <si>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</si>
  <si>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</si>
  <si>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</si>
  <si>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</si>
  <si>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</si>
  <si>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</si>
  <si>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</si>
  <si>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</si>
  <si>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</si>
  <si>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</si>
  <si>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</si>
  <si>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</si>
  <si>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</si>
  <si>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SECTION I:  BUDGET SUMMARY</t>
  </si>
  <si>
    <t>CITY OF SANTA MONICA</t>
  </si>
  <si>
    <t>TOTAL
PROGRAM
BUDGET</t>
  </si>
  <si>
    <t>SM GRANT
BUDGET</t>
  </si>
  <si>
    <t>NON-CITY PROGRAM BUDGET</t>
  </si>
  <si>
    <t>SM 
1st PERIOD EXPEND.</t>
  </si>
  <si>
    <t>SM  
2nd PERIOD EXPEND.</t>
  </si>
  <si>
    <t>SM TOTAL EXPEND.</t>
  </si>
  <si>
    <t>SM PERCENT EXPENDED</t>
  </si>
  <si>
    <t>YEAR-END
 TOTAL PROGRAM EXPEND.</t>
  </si>
  <si>
    <t>1A. Staff Salaries</t>
  </si>
  <si>
    <t>1B. Staff Fringe Benefits</t>
  </si>
  <si>
    <t>1C. Consultant Services</t>
  </si>
  <si>
    <t>2.   Space/Facilities</t>
  </si>
  <si>
    <t>3.   Equipment Purchase</t>
  </si>
  <si>
    <t>4.   Travel/Training</t>
  </si>
  <si>
    <t>5.   Insurance</t>
  </si>
  <si>
    <t>6.   Operating Expenses</t>
  </si>
  <si>
    <t>7.   Scholarships/Stipends</t>
  </si>
  <si>
    <t>8.   Other</t>
  </si>
  <si>
    <t>9.   Indirect Administrative Costs</t>
  </si>
  <si>
    <t>10.   TOTAL BUDGET</t>
  </si>
  <si>
    <t>SECTION II:  LINE ITEM DETAIL</t>
  </si>
  <si>
    <t>1A.  Staff Salaries</t>
  </si>
  <si>
    <t>Staff Name</t>
  </si>
  <si>
    <t>Title</t>
  </si>
  <si>
    <t>1A.  Staff Salaries TOTAL</t>
  </si>
  <si>
    <t>1B.  Staff Fringe Benefits</t>
  </si>
  <si>
    <t>1B.  Staff Fringe Benefits TOTAL</t>
  </si>
  <si>
    <t>1C.  Consultant Services</t>
  </si>
  <si>
    <t>1C.  Consultant Services TOTAL</t>
  </si>
  <si>
    <t>2.  Space/Facilities</t>
  </si>
  <si>
    <t>List any rental costs, utilities, janitorial costs, and any other facility costs.</t>
  </si>
  <si>
    <t>2.  Space/Facilities TOTAL</t>
  </si>
  <si>
    <t>3.  Equipment Purchase</t>
  </si>
  <si>
    <t>3.  Equipment Purchase TOTAL</t>
  </si>
  <si>
    <t>4.  Travel/Training</t>
  </si>
  <si>
    <t>4.  Travel/Training TOTAL</t>
  </si>
  <si>
    <t>5.  Insurance</t>
  </si>
  <si>
    <t>5.  Insurance TOTAL</t>
  </si>
  <si>
    <t>6.  Operating Expenses</t>
  </si>
  <si>
    <t xml:space="preserve">List all operating expenses [e.g., telephone, utilities, office supplies, printing, annual agency financial audit (required by the contract), etc.] included in the Total Program Budget. </t>
  </si>
  <si>
    <t>6.  Operating Expenses TOTAL</t>
  </si>
  <si>
    <t>7.  Scholarships/Stipends</t>
  </si>
  <si>
    <t>7.  Scholarships/Stipends TOTAL</t>
  </si>
  <si>
    <t>8.  Other</t>
  </si>
  <si>
    <t>List any program expense not appropriate for any of the above line items and provide justification.</t>
  </si>
  <si>
    <t>8.  Other TOTAL</t>
  </si>
  <si>
    <t>9.  Indirect Administrative Costs</t>
  </si>
  <si>
    <t>9.  Indirect Administrative Costs TOTAL</t>
  </si>
  <si>
    <t>Worker's Compensation - 1.10% of Gross Salary</t>
  </si>
  <si>
    <t>SUI - 2% based on direct charges</t>
  </si>
  <si>
    <t>Health Benefits - 7% of Gross Salary</t>
  </si>
  <si>
    <t>FY 2020-21 INSTRUCTIONS</t>
  </si>
  <si>
    <t>Exhibit C: Program Budget and Participant Demographics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</si>
  <si>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</si>
  <si>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</si>
  <si>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</si>
  <si>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</si>
  <si>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</si>
  <si>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</si>
  <si>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</si>
  <si>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</si>
  <si>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</si>
  <si>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</si>
  <si>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</si>
  <si>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</si>
  <si>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</si>
  <si>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</si>
  <si>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</si>
  <si>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</si>
  <si>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</si>
  <si>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</si>
  <si>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</si>
  <si>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</si>
  <si>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F-N with program budget detail (Pale Green)
</t>
    </r>
    <r>
      <rPr>
        <b/>
        <sz val="10"/>
        <rFont val="Arial"/>
        <family val="2"/>
      </rPr>
      <t xml:space="preserve">Mid-Year Report: </t>
    </r>
    <r>
      <rPr>
        <sz val="10"/>
        <rFont val="Arial"/>
        <family val="2"/>
      </rPr>
      <t xml:space="preserve">Complete columns Q and S with year-to-date expenditures (Light Grey)
</t>
    </r>
    <r>
      <rPr>
        <b/>
        <sz val="10"/>
        <rFont val="Arial"/>
        <family val="2"/>
      </rPr>
      <t>Year-End Report:</t>
    </r>
    <r>
      <rPr>
        <sz val="10"/>
        <rFont val="Arial"/>
        <family val="2"/>
      </rPr>
      <t xml:space="preserve"> Complete column R, Update Column S with year-to-date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Q "SM 1</t>
    </r>
    <r>
      <rPr>
        <i/>
        <vertAlign val="superscript"/>
        <sz val="9"/>
        <rFont val="Arial"/>
        <family val="2"/>
      </rPr>
      <t>st</t>
    </r>
    <r>
      <rPr>
        <i/>
        <sz val="9"/>
        <rFont val="Arial"/>
        <family val="2"/>
      </rPr>
      <t xml:space="preserve"> PERIOD EXPEND" and Column R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S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</si>
  <si>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columns (T-Y),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</si>
  <si>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CASH MATCH DETAIL</t>
  </si>
  <si>
    <t>Provide a brief description of cash match receipts in column G (Description). For Government Grants, indicate the type of funding source (Federal, State, or County/Local). Enter the Projected/Actual cash match amounts as appropriate in Columns N-P.</t>
  </si>
  <si>
    <r>
      <rPr>
        <b/>
        <i/>
        <sz val="10"/>
        <rFont val="Arial"/>
        <family val="2"/>
      </rPr>
      <t>Year-End Only:</t>
    </r>
    <r>
      <rPr>
        <sz val="10"/>
        <rFont val="Arial"/>
        <family val="2"/>
      </rPr>
      <t xml:space="preserve"> The "Year-End Actual Match Amount" total (Column Q, Line 7) should be identical to the “Agency Cash Match to SMPP” total on the CASH MATCH tab (Column E, Row 18). If not, an error will populate in the “Year-End Cash Match Variance" cell (Column S, Line 7) and you will need to correct the discrepancy.</t>
    </r>
  </si>
  <si>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</si>
  <si>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</si>
  <si>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</si>
  <si>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</si>
  <si>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FY 2020-21 PROGRAM BUDGET &amp; FISCAL REPORTING</t>
  </si>
  <si>
    <t>AGENCY NAME:</t>
  </si>
  <si>
    <t>WISE &amp; Healthy Aging</t>
  </si>
  <si>
    <t>PROGRAM NAME:</t>
  </si>
  <si>
    <t>Oasis Westside</t>
  </si>
  <si>
    <t>REPORTING PERIOD:</t>
  </si>
  <si>
    <t>FY 2020-21 Program Budget: 7/1/20-6/30/21</t>
  </si>
  <si>
    <t>A. Total City Funds Received to Date:</t>
  </si>
  <si>
    <t>B. Total City Funds Expended to Date:</t>
  </si>
  <si>
    <t>C. Cash Balance (Line A - Line B):</t>
  </si>
  <si>
    <t>Mid-Year Report (1st Period): 7/1/20 - 12/31/20</t>
  </si>
  <si>
    <t>Year-End Report (2nd Period): 1/1/21 - 6/30/21</t>
  </si>
  <si>
    <t>List all paid program and administrative positions (both City and non-City funded) and complete all fields below. Total Program Budget for each staff position should equal FTE * Monthly Salary x Months x % FTE to Program.</t>
  </si>
  <si>
    <t>Brandi Orton</t>
  </si>
  <si>
    <t>VP of Member Services</t>
  </si>
  <si>
    <t>Administrative Support</t>
  </si>
  <si>
    <t>Danielle Brinney</t>
  </si>
  <si>
    <t>Administration &amp; Technology Svc</t>
  </si>
  <si>
    <t>Candace Shivers</t>
  </si>
  <si>
    <t>Program Specialist</t>
  </si>
  <si>
    <t xml:space="preserve">Direct Service Provision/Program Staff </t>
  </si>
  <si>
    <t>Caroline Fox</t>
  </si>
  <si>
    <t>Member Services Coordinator</t>
  </si>
  <si>
    <t>Heidi Yates</t>
  </si>
  <si>
    <t>Front Office Specialist</t>
  </si>
  <si>
    <t>Eaven Hardy</t>
  </si>
  <si>
    <t>Jessica Hall</t>
  </si>
  <si>
    <t>List each fringe benefit as a percentage of total staff salaries listed above (FICA, SUI, Workers’ Compensation, Medical Insurance, Retirement, etc.).</t>
  </si>
  <si>
    <t>Description</t>
  </si>
  <si>
    <t>FICA -7.65% of Gross Salary</t>
  </si>
  <si>
    <t>Retirement Benefits - .5% of Gross Salary</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</si>
  <si>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</si>
  <si>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</si>
  <si>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Audit Fees - $120.594 /month  (rate 69.91 X 1.725 FTE =120.594)  X  12 months =1,447annuually</t>
  </si>
  <si>
    <t>Payroll - $38.38/month (rate 22.25 X 1.725 FTE =38.38)  X 12 months = $461 annually</t>
  </si>
  <si>
    <t>Instructors - charge per class ($35 or $45 per class, on payroll, 3 instructors total)</t>
  </si>
  <si>
    <t>Contractors General - ($3,600/year (300/month x 12 months)</t>
  </si>
  <si>
    <t>Special Club Events, Production of Communications Pieces, IT Support</t>
  </si>
  <si>
    <t>Rent - $10,174.00/month  X  1% X 9 months  (% based on square footage) Place holder, pending lease negotiations.</t>
  </si>
  <si>
    <t>Security - $1,078.25/month  X 1% X 9 months (% based on square footage) Place holder, pending lease negotiations.</t>
  </si>
  <si>
    <t>Janitorial - $1,950/month  X  1%, X 9 months   (% based on square footage) Place holder, pending lease negotiations.</t>
  </si>
  <si>
    <t>Equipment is defined as non-expendable personal property having a useful life of more than one year and a unit cost of $1,000 or more. List each item to be leased, rented or purchased.</t>
  </si>
  <si>
    <t>List any trainings/seminars/conferences to be attended and include any amounts for travel, per diem, lodging, etc. For mileage, include mileage reimbursement rate in calculation.</t>
  </si>
  <si>
    <t>Local Travel - based on mileage reimbursement  (100 miles @ .58 per mile = 58)</t>
  </si>
  <si>
    <t>Insurance coverage should align with City contract provisions.</t>
  </si>
  <si>
    <t xml:space="preserve">Insurance -  $72.846 /month (rate $42.23 X 1.7250 FTE= $72.846)   X  12 months = $874 annually </t>
  </si>
  <si>
    <t>Program Supplies -  $3,230/Year  ($269.17/Month x 12 months)</t>
  </si>
  <si>
    <t>Telephone -$92.10/Month (rate $53.39 X 1.7250 FTE = $92.10)  X  12 months = $1,105 annually</t>
  </si>
  <si>
    <t>Postage &amp; Shipping - $990 Year ($82.50/month x 12)</t>
  </si>
  <si>
    <t>Copier Costs - $1,100/Year ($91.67/month x 12)</t>
  </si>
  <si>
    <t>Printing Costs - $1,800/Year (50/month x 12)</t>
  </si>
  <si>
    <t>Advertising -  $900/Year  ($75.00/Month  x 12 months)</t>
  </si>
  <si>
    <t>License Fees - $500/ year ($41.70/months x 12 months)</t>
  </si>
  <si>
    <t>Meeting Expense- $1,005/yer ($83.75/month x 12 months)</t>
  </si>
  <si>
    <t>Volunteer Recognition - $1,154/year ($966.17/month x 12 months)</t>
  </si>
  <si>
    <t>List any scholarships or stipends, and include: number of recipients, maximum amount per recipient, and basis for computation.</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</si>
  <si>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</si>
  <si>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</si>
  <si>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</si>
  <si>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</si>
  <si>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</si>
  <si>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Source</t>
  </si>
  <si>
    <t>PROJECTED MATCH AMOUNT</t>
  </si>
  <si>
    <t>1st PERIOD ACTUAL MATCH AMOUNT</t>
  </si>
  <si>
    <t>2nd PERIOD ACTUAL MATCH AMOUNT</t>
  </si>
  <si>
    <t>YEAR-END ACTUAL MATCH 
AMOUNT</t>
  </si>
  <si>
    <t>YEAR-END
CASH MATCH
CHECK</t>
  </si>
  <si>
    <t>YEAR-END CASH MATCH VARIANCE</t>
  </si>
  <si>
    <t>1.  Government Grants</t>
  </si>
  <si>
    <t>2.  Private/Corporate Grants</t>
  </si>
  <si>
    <t>3.  Individual Donations</t>
  </si>
  <si>
    <t>4.  Fundraising Events</t>
  </si>
  <si>
    <t>5.  Fees for Service</t>
  </si>
  <si>
    <t>6.  Other</t>
  </si>
  <si>
    <t>7.  TOTAL</t>
  </si>
  <si>
    <t>TOTAL CASH MATCH</t>
  </si>
  <si>
    <t>By submitting this report to the Human Services Division, I certify that this report is true, complete and accurate to the best of my knowledge and that all disbursements have been made in compliance with the conditions of the</t>
  </si>
  <si>
    <t>Grantee Agreement and for the purposes indicated.</t>
  </si>
  <si>
    <t>Projection</t>
  </si>
  <si>
    <t>Mid-Year</t>
  </si>
  <si>
    <t>Year-End</t>
  </si>
  <si>
    <t>FY 2020-21 Program Participants and Demographics</t>
  </si>
  <si>
    <t>INDIVIDUALS RECEIVING CONTRACTED SERVICES
(Number of Participants)</t>
  </si>
  <si>
    <t>Projected Total</t>
  </si>
  <si>
    <t>Mid-Year Actuals</t>
  </si>
  <si>
    <t>Year-End Actuals</t>
  </si>
  <si>
    <t>Demographics</t>
  </si>
  <si>
    <t>Individuals</t>
  </si>
  <si>
    <t>Total Unduplicated PP</t>
  </si>
  <si>
    <t>Total SMPP</t>
  </si>
  <si>
    <t>Low-Income SMPP</t>
  </si>
  <si>
    <t>Homeless SMPP</t>
  </si>
  <si>
    <t>w/ Disabilities SMPP</t>
  </si>
  <si>
    <t>Served in Military</t>
  </si>
  <si>
    <t>N/A</t>
  </si>
  <si>
    <t>Pico Neighborhood SMPP</t>
  </si>
  <si>
    <t>Primary Language not English SMPP</t>
  </si>
  <si>
    <t>RACE AND ETHNICITY
(Number of Participants)</t>
  </si>
  <si>
    <t>Race and Ethnicity</t>
  </si>
  <si>
    <t>African-American</t>
  </si>
  <si>
    <t>Asian or Pacific Islander</t>
  </si>
  <si>
    <t>Latino</t>
  </si>
  <si>
    <t>White</t>
  </si>
  <si>
    <t>Multiple Race/Ethnicity</t>
  </si>
  <si>
    <t>Other</t>
  </si>
  <si>
    <t>Refuse to State</t>
  </si>
  <si>
    <t>Total</t>
  </si>
  <si>
    <t>ZIP CODE
(Number of Participants)</t>
  </si>
  <si>
    <t>Zip Code</t>
  </si>
  <si>
    <t>Other Zip Code</t>
  </si>
  <si>
    <t>AGE AND GENDER
(Number of Participants)</t>
  </si>
  <si>
    <t>Male</t>
  </si>
  <si>
    <t>Female</t>
  </si>
  <si>
    <t xml:space="preserve">Transgender </t>
  </si>
  <si>
    <t>Age and Gender</t>
  </si>
  <si>
    <t>0-5</t>
  </si>
  <si>
    <t>6-11</t>
  </si>
  <si>
    <t>12-17</t>
  </si>
  <si>
    <t>18-24</t>
  </si>
  <si>
    <t>25-34</t>
  </si>
  <si>
    <t>35-44</t>
  </si>
  <si>
    <t>45-54</t>
  </si>
  <si>
    <t>55-64</t>
  </si>
  <si>
    <t>65-74</t>
  </si>
  <si>
    <t>75-84</t>
  </si>
  <si>
    <t>85+</t>
  </si>
  <si>
    <t>COST PER PARTICIPANT 
(Total Program Budget / Total Unduplicated Participants)</t>
  </si>
  <si>
    <t>Year-End Actual</t>
  </si>
  <si>
    <t>F</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</si>
  <si>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</si>
  <si>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</si>
  <si>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</si>
  <si>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</si>
  <si>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</si>
  <si>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</si>
  <si>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</si>
  <si>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</si>
  <si>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</si>
  <si>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</si>
  <si>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</si>
  <si>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</si>
  <si>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</si>
  <si>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CASH MATCH CALCULATOR</t>
  </si>
  <si>
    <t>Based on Program Plan and Budget</t>
  </si>
  <si>
    <t>Based on Actual Data and Expenditures</t>
  </si>
  <si>
    <t>Level of Service to SMPP:</t>
  </si>
  <si>
    <t>SM Grant Funding to SMPP:</t>
  </si>
  <si>
    <t>Agency Cash Match to SMPP:</t>
  </si>
  <si>
    <t>NO MATCH REQUIREMENT</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</si>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</sst>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s>
  <fonts count="28"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s>
  <fills count="13">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rgb="FFFF0000"/>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diagonal/>
    </border>
    <border>
      <left style="thin">
        <color theme="1"/>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9" fontId="1" fillId="0" borderId="0" applyFont="0" applyFill="0" applyBorder="0" applyAlignment="0" applyProtection="0"/>
  </cellStyleXfs>
  <cellXfs count="292">
    <xf numFmtId="0" fontId="0" fillId="0" borderId="0" xfId="0"/>
    <xf numFmtId="0" fontId="1" fillId="0" borderId="0" xfId="3"/>
    <xf numFmtId="164" fontId="3" fillId="3" borderId="1" xfId="2" applyNumberFormat="1" applyFont="1" applyFill="1" applyBorder="1" applyProtection="1"/>
    <xf numFmtId="9" fontId="3" fillId="3" borderId="2" xfId="5" applyFont="1" applyFill="1" applyBorder="1" applyAlignment="1" applyProtection="1">
      <alignment horizontal="center"/>
    </xf>
    <xf numFmtId="164" fontId="3" fillId="3" borderId="2" xfId="2" applyNumberFormat="1" applyFont="1" applyFill="1" applyBorder="1" applyProtection="1"/>
    <xf numFmtId="0" fontId="3" fillId="3" borderId="2" xfId="3" applyFont="1" applyFill="1" applyBorder="1" applyAlignment="1" applyProtection="1">
      <alignment horizontal="center"/>
    </xf>
    <xf numFmtId="0" fontId="3" fillId="3" borderId="2" xfId="3" applyFont="1" applyFill="1" applyBorder="1" applyAlignment="1" applyProtection="1">
      <alignment horizontal="right"/>
    </xf>
    <xf numFmtId="0" fontId="3" fillId="3" borderId="2" xfId="3" applyFont="1" applyFill="1" applyBorder="1" applyAlignment="1" applyProtection="1">
      <alignment horizontal="left"/>
    </xf>
    <xf numFmtId="0" fontId="3" fillId="3" borderId="3" xfId="3" applyFont="1" applyFill="1" applyBorder="1" applyAlignment="1" applyProtection="1">
      <alignment horizontal="right"/>
    </xf>
    <xf numFmtId="164" fontId="2" fillId="3" borderId="1" xfId="2" applyNumberFormat="1" applyFont="1" applyFill="1" applyBorder="1" applyProtection="1"/>
    <xf numFmtId="9" fontId="2" fillId="3" borderId="2" xfId="5" applyFont="1" applyFill="1" applyBorder="1" applyAlignment="1" applyProtection="1">
      <alignment horizontal="center"/>
    </xf>
    <xf numFmtId="164" fontId="2" fillId="3" borderId="2" xfId="2" applyNumberFormat="1" applyFont="1" applyFill="1" applyBorder="1" applyProtection="1"/>
    <xf numFmtId="0" fontId="2" fillId="3" borderId="2" xfId="3" applyFont="1" applyFill="1" applyBorder="1" applyAlignment="1" applyProtection="1">
      <alignment horizontal="center"/>
    </xf>
    <xf numFmtId="0" fontId="2" fillId="3" borderId="2" xfId="3" applyFont="1" applyFill="1" applyBorder="1" applyAlignment="1" applyProtection="1">
      <alignment horizontal="right"/>
    </xf>
    <xf numFmtId="166" fontId="6" fillId="3" borderId="9" xfId="1" applyNumberFormat="1" applyFont="1" applyFill="1" applyBorder="1" applyAlignment="1" applyProtection="1">
      <alignment horizontal="center"/>
    </xf>
    <xf numFmtId="9" fontId="6" fillId="3" borderId="10" xfId="5" applyFont="1" applyFill="1" applyBorder="1" applyAlignment="1" applyProtection="1">
      <alignment horizontal="center"/>
    </xf>
    <xf numFmtId="0" fontId="6" fillId="3" borderId="10" xfId="3" applyFont="1" applyFill="1" applyBorder="1" applyAlignment="1" applyProtection="1">
      <alignment horizontal="center"/>
    </xf>
    <xf numFmtId="0" fontId="1" fillId="3" borderId="10" xfId="3" applyFont="1" applyFill="1" applyBorder="1" applyProtection="1"/>
    <xf numFmtId="0" fontId="2" fillId="3" borderId="10" xfId="3" applyFont="1" applyFill="1" applyBorder="1" applyProtection="1"/>
    <xf numFmtId="0" fontId="2" fillId="3" borderId="11" xfId="3" applyFont="1" applyFill="1" applyBorder="1" applyProtection="1"/>
    <xf numFmtId="166" fontId="6" fillId="3" borderId="7" xfId="1" applyNumberFormat="1" applyFont="1" applyFill="1" applyBorder="1" applyAlignment="1" applyProtection="1">
      <alignment horizontal="center"/>
    </xf>
    <xf numFmtId="9" fontId="6" fillId="3" borderId="0" xfId="5" applyFont="1" applyFill="1" applyBorder="1" applyAlignment="1" applyProtection="1">
      <alignment horizontal="center"/>
    </xf>
    <xf numFmtId="0" fontId="6" fillId="3" borderId="0" xfId="3" applyFont="1" applyFill="1" applyBorder="1" applyAlignment="1" applyProtection="1">
      <alignment horizontal="center"/>
    </xf>
    <xf numFmtId="0" fontId="2" fillId="3" borderId="11" xfId="3" applyFont="1" applyFill="1" applyBorder="1" applyAlignment="1" applyProtection="1">
      <alignment wrapText="1"/>
    </xf>
    <xf numFmtId="0" fontId="2" fillId="4" borderId="1" xfId="3" applyFont="1" applyFill="1" applyBorder="1" applyAlignment="1" applyProtection="1"/>
    <xf numFmtId="0" fontId="2" fillId="4" borderId="2" xfId="3" applyFont="1" applyFill="1" applyBorder="1" applyAlignment="1" applyProtection="1"/>
    <xf numFmtId="0" fontId="2" fillId="4"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49" fontId="2" fillId="0" borderId="5" xfId="3" applyNumberFormat="1" applyFont="1" applyFill="1" applyBorder="1" applyAlignment="1" applyProtection="1"/>
    <xf numFmtId="0" fontId="2" fillId="0" borderId="5" xfId="3" applyFont="1" applyFill="1" applyBorder="1" applyAlignment="1" applyProtection="1"/>
    <xf numFmtId="0" fontId="2" fillId="0" borderId="6" xfId="3" applyFont="1" applyFill="1" applyBorder="1" applyAlignment="1" applyProtection="1"/>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49" fontId="2" fillId="0" borderId="10" xfId="3" applyNumberFormat="1" applyFont="1" applyFill="1" applyBorder="1" applyAlignment="1" applyProtection="1"/>
    <xf numFmtId="0" fontId="2" fillId="0" borderId="10" xfId="3" applyFont="1" applyFill="1" applyBorder="1" applyAlignment="1" applyProtection="1"/>
    <xf numFmtId="0" fontId="2" fillId="0" borderId="11" xfId="3" applyFont="1" applyFill="1" applyBorder="1" applyAlignment="1" applyProtection="1"/>
    <xf numFmtId="0" fontId="1" fillId="0" borderId="0" xfId="3" applyFont="1" applyFill="1" applyBorder="1" applyProtection="1"/>
    <xf numFmtId="9" fontId="1" fillId="0" borderId="21" xfId="5" applyFont="1" applyFill="1" applyBorder="1" applyAlignment="1" applyProtection="1">
      <alignment horizontal="center"/>
    </xf>
    <xf numFmtId="164" fontId="1" fillId="0" borderId="21" xfId="2" applyNumberFormat="1" applyFont="1" applyFill="1" applyBorder="1" applyProtection="1"/>
    <xf numFmtId="10" fontId="1" fillId="0" borderId="0" xfId="5"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9" fontId="1" fillId="0" borderId="22" xfId="5" applyFont="1" applyFill="1" applyBorder="1" applyAlignment="1" applyProtection="1">
      <alignment horizontal="center"/>
    </xf>
    <xf numFmtId="164" fontId="1" fillId="0" borderId="22" xfId="2" applyNumberFormat="1" applyFont="1" applyFill="1" applyBorder="1" applyProtection="1"/>
    <xf numFmtId="164" fontId="1" fillId="0" borderId="22" xfId="3" applyNumberFormat="1" applyFont="1" applyFill="1" applyBorder="1" applyProtection="1"/>
    <xf numFmtId="0" fontId="7" fillId="0" borderId="0" xfId="3" applyFont="1" applyFill="1" applyBorder="1" applyAlignment="1" applyProtection="1">
      <alignment horizontal="center" wrapText="1"/>
    </xf>
    <xf numFmtId="0" fontId="2" fillId="0" borderId="0" xfId="3"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4"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horizontal="center"/>
    </xf>
    <xf numFmtId="0" fontId="1" fillId="0" borderId="0" xfId="3" applyFont="1" applyFill="1" applyBorder="1" applyAlignment="1" applyProtection="1">
      <alignment vertical="center" wrapText="1"/>
    </xf>
    <xf numFmtId="164" fontId="1" fillId="0" borderId="23" xfId="2" applyNumberFormat="1" applyFont="1" applyFill="1" applyBorder="1" applyProtection="1"/>
    <xf numFmtId="9" fontId="1" fillId="0" borderId="23" xfId="5" applyFont="1" applyFill="1" applyBorder="1" applyAlignment="1" applyProtection="1">
      <alignment horizontal="center"/>
    </xf>
    <xf numFmtId="0" fontId="2" fillId="0" borderId="0" xfId="3" applyFont="1" applyAlignment="1">
      <alignment horizontal="center"/>
    </xf>
    <xf numFmtId="9" fontId="7" fillId="0" borderId="0" xfId="5" applyFont="1" applyFill="1" applyBorder="1" applyAlignment="1" applyProtection="1">
      <alignment horizontal="center" wrapText="1"/>
    </xf>
    <xf numFmtId="166" fontId="7" fillId="0" borderId="7" xfId="1" applyNumberFormat="1" applyFont="1" applyFill="1" applyBorder="1" applyAlignment="1" applyProtection="1">
      <alignment horizontal="center" wrapText="1"/>
    </xf>
    <xf numFmtId="0" fontId="1" fillId="0" borderId="5" xfId="3" applyFont="1" applyFill="1" applyBorder="1" applyProtection="1"/>
    <xf numFmtId="0" fontId="10" fillId="0" borderId="8" xfId="3" applyFont="1" applyFill="1" applyBorder="1" applyAlignment="1" applyProtection="1">
      <alignment wrapText="1"/>
    </xf>
    <xf numFmtId="0" fontId="10" fillId="0" borderId="0" xfId="3" applyFont="1" applyFill="1" applyBorder="1" applyAlignment="1" applyProtection="1">
      <alignment wrapText="1"/>
    </xf>
    <xf numFmtId="0" fontId="10" fillId="0" borderId="0" xfId="3" applyFont="1" applyFill="1" applyBorder="1" applyAlignment="1" applyProtection="1">
      <alignment horizontal="center" wrapText="1"/>
    </xf>
    <xf numFmtId="0" fontId="1" fillId="0" borderId="6" xfId="3" applyFont="1" applyFill="1" applyBorder="1" applyProtection="1"/>
    <xf numFmtId="0" fontId="2" fillId="3" borderId="25" xfId="3" applyFont="1" applyFill="1" applyBorder="1" applyAlignment="1" applyProtection="1">
      <alignment horizontal="left"/>
    </xf>
    <xf numFmtId="0" fontId="2" fillId="3" borderId="26" xfId="3" applyFont="1" applyFill="1" applyBorder="1" applyAlignment="1" applyProtection="1">
      <alignment horizontal="right"/>
    </xf>
    <xf numFmtId="0" fontId="2" fillId="3" borderId="26" xfId="3" applyFont="1" applyFill="1" applyBorder="1" applyAlignment="1" applyProtection="1">
      <alignment horizontal="center"/>
    </xf>
    <xf numFmtId="164" fontId="2" fillId="3" borderId="26" xfId="2" applyNumberFormat="1" applyFont="1" applyFill="1" applyBorder="1" applyProtection="1"/>
    <xf numFmtId="9" fontId="2" fillId="3" borderId="26" xfId="5" applyFont="1" applyFill="1" applyBorder="1" applyAlignment="1" applyProtection="1">
      <alignment horizontal="center"/>
    </xf>
    <xf numFmtId="164" fontId="2" fillId="3" borderId="27" xfId="2" applyNumberFormat="1" applyFont="1" applyFill="1" applyBorder="1" applyProtection="1"/>
    <xf numFmtId="0" fontId="11" fillId="0" borderId="0" xfId="3" applyFont="1" applyFill="1" applyBorder="1" applyAlignment="1" applyProtection="1">
      <alignment horizontal="center"/>
    </xf>
    <xf numFmtId="0" fontId="11" fillId="3" borderId="8" xfId="3" applyFont="1" applyFill="1" applyBorder="1" applyAlignment="1" applyProtection="1"/>
    <xf numFmtId="0" fontId="11" fillId="3" borderId="0" xfId="3" applyFont="1" applyFill="1" applyBorder="1" applyAlignment="1" applyProtection="1">
      <alignment wrapText="1"/>
    </xf>
    <xf numFmtId="0" fontId="11" fillId="3" borderId="0" xfId="3" applyFont="1" applyFill="1" applyBorder="1" applyProtection="1"/>
    <xf numFmtId="0" fontId="11" fillId="3" borderId="7" xfId="3" applyFont="1" applyFill="1" applyBorder="1" applyProtection="1"/>
    <xf numFmtId="0" fontId="11" fillId="0" borderId="0" xfId="3" applyFont="1" applyFill="1" applyBorder="1" applyProtection="1"/>
    <xf numFmtId="164" fontId="11" fillId="3" borderId="0" xfId="2" applyNumberFormat="1" applyFont="1" applyFill="1" applyBorder="1" applyProtection="1"/>
    <xf numFmtId="9" fontId="11" fillId="3" borderId="0" xfId="5" applyFont="1" applyFill="1" applyBorder="1" applyAlignment="1" applyProtection="1">
      <alignment horizontal="center"/>
    </xf>
    <xf numFmtId="44" fontId="11" fillId="3" borderId="7" xfId="2" applyFont="1" applyFill="1" applyBorder="1" applyProtection="1"/>
    <xf numFmtId="0" fontId="11" fillId="0" borderId="0" xfId="3" applyFont="1" applyFill="1" applyProtection="1"/>
    <xf numFmtId="0" fontId="11" fillId="3" borderId="8" xfId="3" applyFont="1" applyFill="1" applyBorder="1" applyProtection="1"/>
    <xf numFmtId="0" fontId="6" fillId="3" borderId="0" xfId="3" applyFont="1" applyFill="1" applyBorder="1" applyProtection="1"/>
    <xf numFmtId="0" fontId="6" fillId="0" borderId="0" xfId="3" applyFont="1" applyFill="1" applyBorder="1" applyAlignment="1" applyProtection="1">
      <alignment horizontal="center"/>
    </xf>
    <xf numFmtId="0" fontId="12" fillId="0" borderId="0" xfId="3" applyFont="1" applyFill="1" applyBorder="1" applyAlignment="1" applyProtection="1"/>
    <xf numFmtId="0" fontId="12" fillId="0" borderId="0" xfId="3" applyFont="1" applyFill="1" applyBorder="1" applyAlignment="1" applyProtection="1">
      <alignment vertical="top"/>
    </xf>
    <xf numFmtId="0" fontId="1" fillId="0" borderId="0" xfId="3" applyFont="1" applyFill="1" applyAlignment="1" applyProtection="1"/>
    <xf numFmtId="0" fontId="1" fillId="0" borderId="0" xfId="3" applyFont="1" applyFill="1" applyBorder="1" applyAlignment="1" applyProtection="1"/>
    <xf numFmtId="0" fontId="2" fillId="4" borderId="10" xfId="3" applyFont="1" applyFill="1" applyBorder="1" applyAlignment="1" applyProtection="1"/>
    <xf numFmtId="164" fontId="4" fillId="2" borderId="0" xfId="2" applyNumberFormat="1" applyFont="1" applyFill="1" applyBorder="1" applyAlignment="1" applyProtection="1">
      <alignment horizontal="center"/>
    </xf>
    <xf numFmtId="0" fontId="15" fillId="0" borderId="0" xfId="3" applyFont="1" applyFill="1" applyBorder="1" applyAlignment="1" applyProtection="1">
      <alignment horizontal="center"/>
    </xf>
    <xf numFmtId="0" fontId="6" fillId="3" borderId="8" xfId="3" applyFont="1" applyFill="1" applyBorder="1" applyAlignment="1" applyProtection="1">
      <alignment horizontal="left" indent="1"/>
    </xf>
    <xf numFmtId="0" fontId="1" fillId="0" borderId="10" xfId="3" applyFont="1" applyFill="1" applyBorder="1" applyProtection="1"/>
    <xf numFmtId="0" fontId="13" fillId="0" borderId="10" xfId="3" applyFont="1" applyFill="1" applyBorder="1" applyProtection="1"/>
    <xf numFmtId="0" fontId="2" fillId="4" borderId="9" xfId="3" applyFont="1" applyFill="1" applyBorder="1" applyAlignment="1" applyProtection="1"/>
    <xf numFmtId="0" fontId="3" fillId="4" borderId="11" xfId="3" applyFont="1" applyFill="1" applyBorder="1" applyAlignment="1" applyProtection="1"/>
    <xf numFmtId="0" fontId="3" fillId="7" borderId="18" xfId="3" applyFont="1" applyFill="1" applyBorder="1" applyAlignment="1" applyProtection="1">
      <alignment horizontal="left"/>
    </xf>
    <xf numFmtId="0" fontId="3" fillId="7" borderId="19"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164" fontId="3" fillId="7" borderId="19" xfId="2" applyNumberFormat="1" applyFont="1" applyFill="1" applyBorder="1" applyAlignment="1" applyProtection="1">
      <alignment horizontal="center"/>
    </xf>
    <xf numFmtId="0" fontId="13" fillId="0" borderId="11" xfId="3" applyFont="1" applyBorder="1" applyProtection="1"/>
    <xf numFmtId="0" fontId="6" fillId="0" borderId="10" xfId="3" applyFont="1" applyBorder="1" applyAlignment="1" applyProtection="1">
      <alignment horizontal="center" wrapText="1"/>
    </xf>
    <xf numFmtId="0" fontId="6" fillId="0" borderId="9" xfId="3" applyFont="1" applyBorder="1" applyAlignment="1" applyProtection="1">
      <alignment horizontal="center" wrapText="1"/>
    </xf>
    <xf numFmtId="164" fontId="1" fillId="0" borderId="22" xfId="2" applyNumberFormat="1" applyFont="1" applyBorder="1" applyProtection="1"/>
    <xf numFmtId="164" fontId="1" fillId="0" borderId="23" xfId="2" applyNumberFormat="1" applyFont="1" applyBorder="1" applyProtection="1"/>
    <xf numFmtId="0" fontId="3" fillId="0" borderId="6" xfId="3" applyFont="1" applyBorder="1" applyProtection="1"/>
    <xf numFmtId="164" fontId="3" fillId="7" borderId="34" xfId="2" applyNumberFormat="1" applyFont="1" applyFill="1" applyBorder="1" applyProtection="1"/>
    <xf numFmtId="164" fontId="3" fillId="7" borderId="35" xfId="2" applyNumberFormat="1" applyFont="1" applyFill="1" applyBorder="1" applyProtection="1"/>
    <xf numFmtId="0" fontId="2" fillId="0" borderId="0" xfId="3" applyFont="1" applyProtection="1"/>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8" borderId="1" xfId="3" applyFont="1" applyFill="1" applyBorder="1" applyAlignment="1">
      <alignment horizontal="center" vertical="center" wrapText="1"/>
    </xf>
    <xf numFmtId="0" fontId="16" fillId="8" borderId="20" xfId="3" applyFont="1" applyFill="1" applyBorder="1" applyAlignment="1">
      <alignment horizontal="center" vertical="center" wrapText="1"/>
    </xf>
    <xf numFmtId="0" fontId="12" fillId="0" borderId="0" xfId="3" applyFont="1"/>
    <xf numFmtId="9" fontId="6" fillId="0" borderId="10" xfId="5" applyFont="1" applyFill="1" applyBorder="1" applyAlignment="1" applyProtection="1">
      <alignment horizontal="center" wrapText="1"/>
    </xf>
    <xf numFmtId="164" fontId="2" fillId="0" borderId="0" xfId="2" applyNumberFormat="1" applyFont="1" applyFill="1" applyBorder="1" applyProtection="1"/>
    <xf numFmtId="0" fontId="1" fillId="0" borderId="32" xfId="0" applyFont="1" applyBorder="1" applyAlignment="1" applyProtection="1"/>
    <xf numFmtId="0" fontId="1" fillId="0" borderId="10" xfId="3" applyFont="1" applyBorder="1" applyProtection="1"/>
    <xf numFmtId="0" fontId="1" fillId="0" borderId="0" xfId="3" applyFont="1" applyBorder="1" applyProtection="1"/>
    <xf numFmtId="0" fontId="19" fillId="0" borderId="0" xfId="3" applyFont="1" applyAlignment="1" applyProtection="1">
      <alignment horizontal="center"/>
    </xf>
    <xf numFmtId="0" fontId="3" fillId="0" borderId="12" xfId="3" applyFont="1" applyFill="1" applyBorder="1" applyAlignment="1" applyProtection="1"/>
    <xf numFmtId="164" fontId="3" fillId="9" borderId="2" xfId="2" applyNumberFormat="1" applyFont="1" applyFill="1" applyBorder="1" applyAlignment="1" applyProtection="1">
      <alignment horizontal="center"/>
    </xf>
    <xf numFmtId="0" fontId="2" fillId="0" borderId="0"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2" fillId="0" borderId="0" xfId="3" applyFont="1" applyFill="1" applyAlignment="1" applyProtection="1">
      <alignment vertic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2"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Alignment="1" applyProtection="1">
      <alignment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0" xfId="3" applyFont="1" applyFill="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0" fontId="19" fillId="0" borderId="0" xfId="3" applyFont="1" applyFill="1" applyBorder="1" applyProtection="1"/>
    <xf numFmtId="0" fontId="19" fillId="0" borderId="0" xfId="3" applyFont="1" applyBorder="1" applyProtection="1"/>
    <xf numFmtId="0" fontId="19" fillId="0" borderId="0" xfId="3" applyFont="1" applyBorder="1" applyAlignment="1" applyProtection="1"/>
    <xf numFmtId="41" fontId="5" fillId="4" borderId="11" xfId="3" applyNumberFormat="1" applyFont="1" applyFill="1" applyBorder="1" applyAlignment="1" applyProtection="1">
      <alignment horizontal="center"/>
    </xf>
    <xf numFmtId="41" fontId="20" fillId="4" borderId="10" xfId="3" applyNumberFormat="1" applyFont="1" applyFill="1" applyBorder="1" applyAlignment="1" applyProtection="1">
      <alignment horizontal="center" wrapText="1"/>
    </xf>
    <xf numFmtId="0" fontId="1" fillId="4" borderId="9" xfId="3" applyFont="1" applyFill="1" applyBorder="1" applyProtection="1"/>
    <xf numFmtId="0" fontId="4" fillId="6" borderId="8" xfId="3" applyFont="1" applyFill="1" applyBorder="1" applyProtection="1"/>
    <xf numFmtId="0" fontId="4" fillId="2" borderId="0" xfId="3" applyFont="1" applyFill="1" applyBorder="1" applyAlignment="1" applyProtection="1">
      <alignment horizontal="center"/>
    </xf>
    <xf numFmtId="0" fontId="4" fillId="6" borderId="0" xfId="3" applyFont="1" applyFill="1" applyBorder="1" applyAlignment="1" applyProtection="1">
      <alignment horizontal="center"/>
    </xf>
    <xf numFmtId="0" fontId="19" fillId="6" borderId="7" xfId="3" applyFont="1" applyFill="1" applyBorder="1" applyProtection="1"/>
    <xf numFmtId="9" fontId="4" fillId="2" borderId="8" xfId="3" applyNumberFormat="1" applyFont="1" applyFill="1" applyBorder="1" applyProtection="1"/>
    <xf numFmtId="9" fontId="4" fillId="2" borderId="0" xfId="3" applyNumberFormat="1" applyFont="1" applyFill="1" applyBorder="1" applyAlignment="1" applyProtection="1">
      <alignment horizontal="center"/>
    </xf>
    <xf numFmtId="9" fontId="4" fillId="6" borderId="0" xfId="3" applyNumberFormat="1" applyFont="1" applyFill="1" applyBorder="1" applyAlignment="1" applyProtection="1">
      <alignment horizontal="center"/>
    </xf>
    <xf numFmtId="41" fontId="5" fillId="4" borderId="8" xfId="3" applyNumberFormat="1" applyFont="1" applyFill="1" applyBorder="1" applyAlignment="1" applyProtection="1">
      <alignment horizontal="center"/>
    </xf>
    <xf numFmtId="164" fontId="4" fillId="6" borderId="0" xfId="2" applyNumberFormat="1" applyFont="1" applyFill="1" applyBorder="1" applyAlignment="1" applyProtection="1">
      <alignment horizontal="right"/>
    </xf>
    <xf numFmtId="164" fontId="4" fillId="6" borderId="7" xfId="2" applyNumberFormat="1" applyFont="1" applyFill="1" applyBorder="1" applyAlignment="1" applyProtection="1">
      <alignment horizontal="right"/>
    </xf>
    <xf numFmtId="165" fontId="4" fillId="2" borderId="0" xfId="3" applyNumberFormat="1" applyFont="1" applyFill="1" applyBorder="1" applyAlignment="1" applyProtection="1">
      <alignment horizontal="center"/>
    </xf>
    <xf numFmtId="164" fontId="4" fillId="6" borderId="0" xfId="2" applyNumberFormat="1" applyFont="1" applyFill="1" applyBorder="1" applyAlignment="1" applyProtection="1">
      <alignment horizontal="center"/>
    </xf>
    <xf numFmtId="165" fontId="4" fillId="2" borderId="7" xfId="3" applyNumberFormat="1" applyFont="1" applyFill="1" applyBorder="1" applyAlignment="1" applyProtection="1">
      <alignment horizontal="center"/>
    </xf>
    <xf numFmtId="0" fontId="3" fillId="9" borderId="3" xfId="3" applyFont="1" applyFill="1" applyBorder="1" applyProtection="1"/>
    <xf numFmtId="165" fontId="3" fillId="9" borderId="2" xfId="3" applyNumberFormat="1" applyFont="1" applyFill="1" applyBorder="1" applyAlignment="1" applyProtection="1">
      <alignment horizontal="center"/>
    </xf>
    <xf numFmtId="165" fontId="3" fillId="9" borderId="1" xfId="3" applyNumberFormat="1" applyFont="1" applyFill="1" applyBorder="1" applyAlignment="1" applyProtection="1">
      <alignment horizontal="center"/>
    </xf>
    <xf numFmtId="0" fontId="19" fillId="6" borderId="0" xfId="3" applyFont="1" applyFill="1" applyBorder="1" applyAlignment="1" applyProtection="1">
      <alignment horizontal="center"/>
    </xf>
    <xf numFmtId="0" fontId="19" fillId="0" borderId="0" xfId="3" applyFont="1" applyProtection="1"/>
    <xf numFmtId="0" fontId="1" fillId="0" borderId="42" xfId="3" applyFont="1" applyFill="1" applyBorder="1" applyProtection="1"/>
    <xf numFmtId="0" fontId="2" fillId="3" borderId="36" xfId="3" applyFont="1" applyFill="1" applyBorder="1" applyAlignment="1" applyProtection="1">
      <alignment wrapText="1"/>
    </xf>
    <xf numFmtId="0" fontId="2" fillId="3" borderId="37" xfId="3" applyFont="1" applyFill="1" applyBorder="1" applyProtection="1"/>
    <xf numFmtId="0" fontId="1" fillId="3" borderId="37" xfId="3" applyFont="1" applyFill="1" applyBorder="1" applyProtection="1"/>
    <xf numFmtId="0" fontId="6" fillId="3" borderId="37" xfId="3" applyFont="1" applyFill="1" applyBorder="1" applyAlignment="1" applyProtection="1">
      <alignment horizontal="center"/>
    </xf>
    <xf numFmtId="9" fontId="6" fillId="3" borderId="37" xfId="5" applyFont="1" applyFill="1" applyBorder="1" applyAlignment="1" applyProtection="1">
      <alignment horizontal="center"/>
    </xf>
    <xf numFmtId="166" fontId="6" fillId="3" borderId="38" xfId="1" applyNumberFormat="1" applyFont="1" applyFill="1" applyBorder="1" applyAlignment="1" applyProtection="1">
      <alignment horizontal="center"/>
    </xf>
    <xf numFmtId="0" fontId="11" fillId="3" borderId="39" xfId="3" applyFont="1" applyFill="1" applyBorder="1" applyAlignment="1" applyProtection="1"/>
    <xf numFmtId="166" fontId="6" fillId="3" borderId="43" xfId="1" applyNumberFormat="1" applyFont="1" applyFill="1" applyBorder="1" applyAlignment="1" applyProtection="1">
      <alignment horizontal="center"/>
    </xf>
    <xf numFmtId="0" fontId="10" fillId="0" borderId="39" xfId="3" applyFont="1" applyFill="1" applyBorder="1" applyAlignment="1" applyProtection="1">
      <alignment wrapText="1"/>
    </xf>
    <xf numFmtId="166" fontId="7" fillId="0" borderId="43" xfId="1" applyNumberFormat="1" applyFont="1" applyFill="1" applyBorder="1" applyAlignment="1" applyProtection="1">
      <alignment horizontal="center" wrapText="1"/>
    </xf>
    <xf numFmtId="0" fontId="1" fillId="0" borderId="41" xfId="3" applyFont="1" applyFill="1" applyBorder="1" applyProtection="1"/>
    <xf numFmtId="0" fontId="2" fillId="3" borderId="45" xfId="3" applyFont="1" applyFill="1" applyBorder="1" applyAlignment="1" applyProtection="1">
      <alignment horizontal="left"/>
    </xf>
    <xf numFmtId="0" fontId="2" fillId="3" borderId="46" xfId="3" applyFont="1" applyFill="1" applyBorder="1" applyAlignment="1" applyProtection="1">
      <alignment horizontal="right"/>
    </xf>
    <xf numFmtId="164" fontId="2" fillId="3" borderId="46" xfId="2" applyNumberFormat="1" applyFont="1" applyFill="1" applyBorder="1" applyProtection="1"/>
    <xf numFmtId="9" fontId="2" fillId="3" borderId="46" xfId="5" applyFont="1" applyFill="1" applyBorder="1" applyAlignment="1" applyProtection="1">
      <alignment horizontal="center"/>
    </xf>
    <xf numFmtId="164" fontId="2" fillId="3" borderId="47" xfId="2" applyNumberFormat="1" applyFont="1" applyFill="1" applyBorder="1" applyProtection="1"/>
    <xf numFmtId="0" fontId="1" fillId="0" borderId="8" xfId="3" applyFont="1" applyFill="1" applyBorder="1" applyProtection="1"/>
    <xf numFmtId="164" fontId="1" fillId="0" borderId="24" xfId="2" applyNumberFormat="1" applyFont="1" applyFill="1" applyBorder="1" applyProtection="1"/>
    <xf numFmtId="0" fontId="2" fillId="0" borderId="6" xfId="3" applyFont="1" applyFill="1" applyBorder="1" applyProtection="1"/>
    <xf numFmtId="0" fontId="2" fillId="0" borderId="5" xfId="3" applyFont="1" applyFill="1" applyBorder="1" applyProtection="1"/>
    <xf numFmtId="164" fontId="2" fillId="0" borderId="48" xfId="2" applyNumberFormat="1" applyFont="1" applyFill="1" applyBorder="1" applyProtection="1"/>
    <xf numFmtId="9" fontId="2" fillId="0" borderId="48" xfId="5" applyFont="1" applyFill="1" applyBorder="1" applyAlignment="1" applyProtection="1">
      <alignment horizontal="center"/>
    </xf>
    <xf numFmtId="164" fontId="2" fillId="0" borderId="49" xfId="2" applyNumberFormat="1" applyFont="1" applyFill="1" applyBorder="1" applyProtection="1"/>
    <xf numFmtId="0" fontId="1" fillId="0" borderId="11" xfId="3" applyFont="1" applyFill="1" applyBorder="1" applyProtection="1"/>
    <xf numFmtId="0" fontId="1" fillId="0" borderId="3" xfId="3" applyFont="1" applyFill="1" applyBorder="1" applyProtection="1"/>
    <xf numFmtId="0" fontId="1" fillId="0" borderId="2" xfId="3" applyFont="1" applyFill="1" applyBorder="1" applyProtection="1"/>
    <xf numFmtId="0" fontId="2" fillId="3" borderId="51" xfId="3" applyFont="1" applyFill="1" applyBorder="1" applyAlignment="1" applyProtection="1">
      <alignment horizontal="left"/>
    </xf>
    <xf numFmtId="9" fontId="1" fillId="0" borderId="15" xfId="5" applyFont="1" applyFill="1" applyBorder="1" applyAlignment="1" applyProtection="1">
      <alignment horizontal="center"/>
    </xf>
    <xf numFmtId="9" fontId="2" fillId="0" borderId="15" xfId="5" applyFont="1" applyFill="1" applyBorder="1" applyAlignment="1" applyProtection="1">
      <alignment horizontal="center"/>
    </xf>
    <xf numFmtId="9" fontId="2" fillId="0" borderId="14" xfId="5" applyFont="1" applyFill="1" applyBorder="1" applyAlignment="1" applyProtection="1">
      <alignment horizontal="center"/>
    </xf>
    <xf numFmtId="9" fontId="2" fillId="4" borderId="2" xfId="5" applyFont="1" applyFill="1" applyBorder="1" applyAlignment="1" applyProtection="1"/>
    <xf numFmtId="9" fontId="11" fillId="3" borderId="0" xfId="5" applyFont="1" applyFill="1" applyBorder="1" applyProtection="1"/>
    <xf numFmtId="165" fontId="4" fillId="2" borderId="0" xfId="5" applyNumberFormat="1" applyFont="1" applyFill="1" applyBorder="1" applyAlignment="1" applyProtection="1">
      <alignment horizontal="center"/>
    </xf>
    <xf numFmtId="1" fontId="3" fillId="0" borderId="16" xfId="3" applyNumberFormat="1" applyFont="1" applyFill="1" applyBorder="1" applyAlignment="1" applyProtection="1">
      <alignment horizontal="center" vertical="center" wrapText="1"/>
    </xf>
    <xf numFmtId="0" fontId="22" fillId="0" borderId="16" xfId="3" applyFont="1" applyFill="1" applyBorder="1" applyAlignment="1" applyProtection="1">
      <alignment horizontal="right" vertical="center"/>
    </xf>
    <xf numFmtId="0" fontId="22" fillId="0" borderId="16" xfId="3" quotePrefix="1" applyFont="1" applyFill="1" applyBorder="1" applyAlignment="1" applyProtection="1">
      <alignment horizontal="right" vertical="center"/>
    </xf>
    <xf numFmtId="0" fontId="21" fillId="0" borderId="16"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2" fillId="0" borderId="0" xfId="3" applyFont="1" applyFill="1" applyBorder="1" applyAlignment="1" applyProtection="1">
      <alignment horizontal="left" vertical="center" wrapText="1"/>
    </xf>
    <xf numFmtId="0" fontId="12" fillId="0" borderId="0" xfId="3" applyFont="1" applyFill="1" applyBorder="1" applyAlignment="1" applyProtection="1">
      <alignment horizontal="center" vertical="center" wrapText="1"/>
    </xf>
    <xf numFmtId="0" fontId="21" fillId="3" borderId="16" xfId="3" applyFont="1" applyFill="1" applyBorder="1" applyAlignment="1" applyProtection="1">
      <alignment horizontal="center" vertical="center" wrapText="1"/>
    </xf>
    <xf numFmtId="0" fontId="4" fillId="0" borderId="16" xfId="0" applyFont="1" applyBorder="1" applyAlignment="1" applyProtection="1">
      <alignment horizontal="right" vertical="center"/>
    </xf>
    <xf numFmtId="0" fontId="3" fillId="0" borderId="16" xfId="0" applyFont="1" applyBorder="1" applyAlignment="1" applyProtection="1">
      <alignment horizontal="right" vertical="center"/>
    </xf>
    <xf numFmtId="0" fontId="2" fillId="11" borderId="12" xfId="3" applyFont="1" applyFill="1" applyBorder="1" applyProtection="1"/>
    <xf numFmtId="0" fontId="2" fillId="11" borderId="17" xfId="3" applyFont="1" applyFill="1" applyBorder="1" applyProtection="1"/>
    <xf numFmtId="0" fontId="1" fillId="11" borderId="44" xfId="0" applyFont="1" applyFill="1" applyBorder="1" applyAlignment="1" applyProtection="1">
      <alignment horizontal="left" vertical="top"/>
    </xf>
    <xf numFmtId="0" fontId="1" fillId="11" borderId="22" xfId="0" applyFont="1" applyFill="1" applyBorder="1" applyAlignment="1" applyProtection="1">
      <alignment horizontal="left" vertical="top"/>
    </xf>
    <xf numFmtId="43" fontId="1" fillId="11" borderId="22" xfId="0" applyNumberFormat="1" applyFont="1" applyFill="1" applyBorder="1" applyAlignment="1" applyProtection="1">
      <alignment horizontal="center" vertical="top" shrinkToFit="1"/>
    </xf>
    <xf numFmtId="44" fontId="1" fillId="11" borderId="22" xfId="0" applyNumberFormat="1" applyFont="1" applyFill="1" applyBorder="1" applyAlignment="1" applyProtection="1">
      <alignment horizontal="center" vertical="top" shrinkToFit="1"/>
    </xf>
    <xf numFmtId="0" fontId="1" fillId="11" borderId="22" xfId="0" applyFont="1" applyFill="1" applyBorder="1" applyAlignment="1" applyProtection="1">
      <alignment horizontal="center" vertical="top" shrinkToFit="1"/>
    </xf>
    <xf numFmtId="9" fontId="1" fillId="11" borderId="22" xfId="0" applyNumberFormat="1" applyFont="1" applyFill="1" applyBorder="1" applyAlignment="1" applyProtection="1">
      <alignment horizontal="center" vertical="top" shrinkToFit="1"/>
    </xf>
    <xf numFmtId="44" fontId="1" fillId="11" borderId="22" xfId="2" applyFont="1" applyFill="1" applyBorder="1" applyProtection="1"/>
    <xf numFmtId="164" fontId="1" fillId="11" borderId="22" xfId="2" applyNumberFormat="1" applyFont="1" applyFill="1" applyBorder="1" applyProtection="1"/>
    <xf numFmtId="164" fontId="1" fillId="11" borderId="21" xfId="2" applyNumberFormat="1" applyFont="1" applyFill="1" applyBorder="1" applyProtection="1"/>
    <xf numFmtId="43" fontId="1" fillId="11" borderId="23" xfId="0" applyNumberFormat="1" applyFont="1" applyFill="1" applyBorder="1" applyAlignment="1" applyProtection="1">
      <alignment horizontal="center" vertical="top" shrinkToFit="1"/>
    </xf>
    <xf numFmtId="44" fontId="1" fillId="11" borderId="23" xfId="0" applyNumberFormat="1" applyFont="1" applyFill="1" applyBorder="1" applyAlignment="1" applyProtection="1">
      <alignment horizontal="center" vertical="top" shrinkToFit="1"/>
    </xf>
    <xf numFmtId="0" fontId="1" fillId="11" borderId="23" xfId="0" applyFont="1" applyFill="1" applyBorder="1" applyAlignment="1" applyProtection="1">
      <alignment horizontal="center" vertical="top" shrinkToFit="1"/>
    </xf>
    <xf numFmtId="9" fontId="1" fillId="11" borderId="23" xfId="0" applyNumberFormat="1" applyFont="1" applyFill="1" applyBorder="1" applyAlignment="1" applyProtection="1">
      <alignment horizontal="center" vertical="top" shrinkToFit="1"/>
    </xf>
    <xf numFmtId="0" fontId="1" fillId="11" borderId="32" xfId="0" applyFont="1" applyFill="1" applyBorder="1" applyAlignment="1" applyProtection="1">
      <alignment horizontal="left" vertical="top"/>
    </xf>
    <xf numFmtId="0" fontId="1" fillId="11" borderId="28" xfId="0" applyFont="1" applyFill="1" applyBorder="1" applyAlignment="1" applyProtection="1">
      <alignment horizontal="left" vertical="top" shrinkToFit="1"/>
    </xf>
    <xf numFmtId="44" fontId="1" fillId="11" borderId="23" xfId="2" applyFont="1" applyFill="1" applyBorder="1" applyProtection="1"/>
    <xf numFmtId="0" fontId="1" fillId="11" borderId="31" xfId="3" applyFont="1" applyFill="1" applyBorder="1" applyAlignment="1" applyProtection="1">
      <alignment horizontal="left" vertical="top"/>
    </xf>
    <xf numFmtId="164" fontId="1" fillId="11" borderId="23" xfId="2" applyNumberFormat="1" applyFont="1" applyFill="1" applyBorder="1" applyProtection="1"/>
    <xf numFmtId="0" fontId="1" fillId="11" borderId="8" xfId="3" applyFont="1" applyFill="1" applyBorder="1" applyAlignment="1" applyProtection="1">
      <alignment horizontal="left" vertical="top" wrapText="1"/>
    </xf>
    <xf numFmtId="0" fontId="1" fillId="11" borderId="50" xfId="0" applyFont="1" applyFill="1" applyBorder="1" applyAlignment="1" applyProtection="1">
      <alignment horizontal="left" vertical="top" shrinkToFit="1"/>
    </xf>
    <xf numFmtId="0" fontId="4" fillId="11" borderId="16" xfId="3" applyFont="1" applyFill="1" applyBorder="1" applyAlignment="1" applyProtection="1">
      <alignment horizontal="center" vertical="center" wrapText="1"/>
    </xf>
    <xf numFmtId="0" fontId="21" fillId="3" borderId="52" xfId="3" applyFont="1" applyFill="1" applyBorder="1" applyAlignment="1" applyProtection="1">
      <alignment horizontal="center" vertical="center"/>
    </xf>
    <xf numFmtId="44" fontId="4" fillId="11" borderId="16" xfId="2" applyFont="1" applyFill="1" applyBorder="1" applyAlignment="1" applyProtection="1">
      <alignment horizontal="center" vertical="center" wrapText="1"/>
    </xf>
    <xf numFmtId="0" fontId="4" fillId="11" borderId="54" xfId="3" applyFont="1" applyFill="1" applyBorder="1" applyAlignment="1" applyProtection="1">
      <alignment horizontal="center" vertical="center"/>
    </xf>
    <xf numFmtId="0" fontId="3" fillId="12" borderId="20" xfId="3" applyFont="1" applyFill="1" applyBorder="1" applyAlignment="1" applyProtection="1">
      <alignment horizontal="center" wrapText="1"/>
    </xf>
    <xf numFmtId="1" fontId="4" fillId="11" borderId="16" xfId="3" applyNumberFormat="1" applyFont="1" applyFill="1" applyBorder="1" applyAlignment="1" applyProtection="1">
      <alignment horizontal="center" vertical="center" wrapText="1"/>
    </xf>
    <xf numFmtId="1" fontId="21" fillId="0" borderId="16" xfId="3" applyNumberFormat="1" applyFont="1" applyFill="1" applyBorder="1" applyAlignment="1" applyProtection="1">
      <alignment horizontal="center" vertical="center" wrapText="1"/>
    </xf>
    <xf numFmtId="0" fontId="21" fillId="3" borderId="16" xfId="3" applyFont="1" applyFill="1" applyBorder="1" applyAlignment="1" applyProtection="1">
      <alignment horizontal="left" vertical="center" wrapText="1"/>
    </xf>
    <xf numFmtId="41" fontId="20" fillId="4" borderId="0" xfId="3" applyNumberFormat="1" applyFont="1" applyFill="1" applyBorder="1" applyAlignment="1" applyProtection="1">
      <alignment horizontal="center" wrapText="1"/>
    </xf>
    <xf numFmtId="41" fontId="20" fillId="4" borderId="7" xfId="3" applyNumberFormat="1" applyFont="1" applyFill="1" applyBorder="1" applyAlignment="1" applyProtection="1">
      <alignment horizontal="center" wrapText="1"/>
    </xf>
    <xf numFmtId="0" fontId="4" fillId="5" borderId="16" xfId="3" applyFont="1" applyFill="1" applyBorder="1" applyAlignment="1" applyProtection="1">
      <alignment horizontal="center" vertical="center" wrapText="1"/>
    </xf>
    <xf numFmtId="1" fontId="4" fillId="5" borderId="16" xfId="3" applyNumberFormat="1" applyFont="1" applyFill="1" applyBorder="1" applyAlignment="1" applyProtection="1">
      <alignment horizontal="center" vertical="center" wrapText="1"/>
    </xf>
    <xf numFmtId="1" fontId="22" fillId="5" borderId="16" xfId="3" applyNumberFormat="1" applyFont="1" applyFill="1" applyBorder="1" applyAlignment="1" applyProtection="1">
      <alignment vertical="center" wrapText="1"/>
    </xf>
    <xf numFmtId="1" fontId="22" fillId="5" borderId="16" xfId="3" applyNumberFormat="1" applyFont="1" applyFill="1" applyBorder="1" applyAlignment="1" applyProtection="1">
      <alignment horizontal="center" vertical="center" wrapText="1"/>
    </xf>
    <xf numFmtId="0" fontId="4" fillId="0" borderId="0" xfId="3" applyFont="1" applyAlignment="1" applyProtection="1">
      <alignment horizontal="center" vertical="center"/>
    </xf>
    <xf numFmtId="0" fontId="3" fillId="0" borderId="0" xfId="3" applyFont="1" applyAlignment="1" applyProtection="1">
      <alignment horizontal="center" vertical="center"/>
    </xf>
    <xf numFmtId="0" fontId="3" fillId="0" borderId="0" xfId="3" applyFont="1" applyAlignment="1" applyProtection="1">
      <alignment vertical="center"/>
    </xf>
    <xf numFmtId="0" fontId="21" fillId="3" borderId="53" xfId="3" applyFont="1" applyFill="1" applyBorder="1" applyAlignment="1" applyProtection="1">
      <alignment horizontal="center" vertical="center"/>
    </xf>
    <xf numFmtId="0" fontId="4" fillId="0" borderId="0" xfId="3" applyFont="1" applyAlignment="1" applyProtection="1">
      <alignment vertical="center"/>
    </xf>
    <xf numFmtId="0" fontId="12" fillId="0" borderId="0" xfId="3" applyFont="1" applyAlignment="1" applyProtection="1">
      <alignment vertical="top"/>
    </xf>
    <xf numFmtId="0" fontId="2" fillId="0" borderId="8" xfId="3" applyFont="1" applyBorder="1" applyAlignment="1" applyProtection="1">
      <alignment horizontal="left"/>
    </xf>
    <xf numFmtId="0" fontId="11" fillId="11" borderId="12" xfId="3" applyFont="1" applyFill="1" applyBorder="1" applyProtection="1"/>
    <xf numFmtId="44" fontId="1" fillId="5" borderId="12" xfId="2" applyFont="1" applyFill="1" applyBorder="1" applyProtection="1"/>
    <xf numFmtId="44" fontId="1" fillId="0" borderId="12" xfId="2" applyFont="1" applyFill="1" applyBorder="1" applyProtection="1"/>
    <xf numFmtId="164" fontId="1" fillId="5" borderId="22" xfId="2" applyNumberFormat="1" applyFont="1" applyFill="1" applyBorder="1" applyProtection="1"/>
    <xf numFmtId="164" fontId="1" fillId="5" borderId="40" xfId="3" applyNumberFormat="1" applyFont="1" applyFill="1" applyBorder="1" applyProtection="1"/>
    <xf numFmtId="44" fontId="1" fillId="5" borderId="24" xfId="2" applyFont="1" applyFill="1" applyBorder="1" applyProtection="1"/>
    <xf numFmtId="164" fontId="1" fillId="5" borderId="21" xfId="2" applyNumberFormat="1" applyFont="1" applyFill="1" applyBorder="1" applyProtection="1"/>
    <xf numFmtId="44" fontId="1" fillId="5" borderId="30" xfId="2" applyFont="1" applyFill="1" applyBorder="1" applyProtection="1"/>
    <xf numFmtId="164" fontId="1" fillId="5" borderId="23" xfId="2" applyNumberFormat="1" applyFont="1" applyFill="1" applyBorder="1" applyProtection="1"/>
    <xf numFmtId="164" fontId="1" fillId="5" borderId="33" xfId="2" applyNumberFormat="1" applyFont="1" applyFill="1" applyBorder="1" applyProtection="1"/>
    <xf numFmtId="164" fontId="1" fillId="5" borderId="24" xfId="2" applyNumberFormat="1" applyFont="1" applyFill="1" applyBorder="1" applyProtection="1"/>
    <xf numFmtId="164" fontId="1" fillId="5" borderId="30" xfId="2" applyNumberFormat="1" applyFont="1" applyFill="1" applyBorder="1" applyProtection="1"/>
    <xf numFmtId="44" fontId="1" fillId="5" borderId="29" xfId="2" applyFont="1" applyFill="1" applyBorder="1" applyProtection="1"/>
    <xf numFmtId="0" fontId="1" fillId="11" borderId="28" xfId="2" applyNumberFormat="1" applyFont="1" applyFill="1" applyBorder="1" applyProtection="1"/>
    <xf numFmtId="0" fontId="1" fillId="0" borderId="0" xfId="3" applyFont="1" applyFill="1" applyBorder="1" applyProtection="1">
      <protection locked="0"/>
    </xf>
    <xf numFmtId="0" fontId="11" fillId="0" borderId="0" xfId="3" applyFont="1" applyFill="1" applyBorder="1" applyProtection="1">
      <protection locked="0"/>
    </xf>
    <xf numFmtId="0" fontId="1" fillId="0" borderId="0" xfId="3" applyFont="1" applyFill="1" applyBorder="1" applyAlignment="1" applyProtection="1">
      <protection locked="0"/>
    </xf>
    <xf numFmtId="43" fontId="2" fillId="3" borderId="46" xfId="3" applyNumberFormat="1" applyFont="1" applyFill="1" applyBorder="1" applyAlignment="1" applyProtection="1">
      <alignment horizontal="center"/>
    </xf>
    <xf numFmtId="0" fontId="1" fillId="0" borderId="0" xfId="3" applyAlignment="1">
      <alignment horizontal="left" vertical="center" wrapText="1"/>
    </xf>
    <xf numFmtId="0" fontId="17" fillId="10" borderId="0" xfId="3" applyFont="1" applyFill="1" applyAlignment="1">
      <alignment horizontal="left" vertical="center" wrapText="1"/>
    </xf>
    <xf numFmtId="0" fontId="12" fillId="0" borderId="0" xfId="3" applyFont="1" applyAlignment="1">
      <alignment horizontal="center"/>
    </xf>
    <xf numFmtId="0" fontId="1" fillId="0" borderId="0" xfId="3" applyAlignment="1">
      <alignment horizontal="left" vertical="center" wrapText="1" indent="1"/>
    </xf>
    <xf numFmtId="0" fontId="2" fillId="5" borderId="0" xfId="3" applyFont="1" applyFill="1" applyAlignment="1">
      <alignment horizontal="left" vertical="center" wrapText="1" indent="2"/>
    </xf>
    <xf numFmtId="41" fontId="20" fillId="4" borderId="0" xfId="3" applyNumberFormat="1" applyFont="1" applyFill="1" applyBorder="1" applyAlignment="1" applyProtection="1">
      <alignment horizontal="center" wrapText="1"/>
    </xf>
    <xf numFmtId="41" fontId="20" fillId="4" borderId="7" xfId="3" applyNumberFormat="1" applyFont="1" applyFill="1" applyBorder="1" applyAlignment="1" applyProtection="1">
      <alignment horizontal="center" wrapText="1"/>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228600</xdr:colOff>
      <xdr:row>18</xdr:row>
      <xdr:rowOff>76200</xdr:rowOff>
    </xdr:from>
    <xdr:to>
      <xdr:col>5</xdr:col>
      <xdr:colOff>514350</xdr:colOff>
      <xdr:row>23</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20</xdr:row>
      <xdr:rowOff>76200</xdr:rowOff>
    </xdr:from>
    <xdr:to>
      <xdr:col>5</xdr:col>
      <xdr:colOff>514350</xdr:colOff>
      <xdr:row>23</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36"/>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22" customFormat="1" ht="18" x14ac:dyDescent="0.25">
      <c r="A1" s="287" t="s">
        <v>72</v>
      </c>
      <c r="B1" s="287"/>
      <c r="C1" s="287"/>
    </row>
    <row r="2" spans="1:3" ht="18" x14ac:dyDescent="0.25">
      <c r="A2" s="287" t="s">
        <v>73</v>
      </c>
      <c r="B2" s="287"/>
      <c r="C2" s="287"/>
    </row>
    <row r="3" spans="1:3" s="63" customFormat="1" ht="13.5" thickBot="1" x14ac:dyDescent="0.25">
      <c r="A3" s="1"/>
      <c r="B3" s="1"/>
      <c r="C3" s="1"/>
    </row>
    <row r="4" spans="1:3" s="116" customFormat="1" ht="15.75" thickBot="1" x14ac:dyDescent="0.25">
      <c r="A4" s="121" t="s">
        <v>74</v>
      </c>
      <c r="B4" s="120" t="s">
        <v>75</v>
      </c>
      <c r="C4" s="120" t="s">
        <v>76</v>
      </c>
    </row>
    <row r="5" spans="1:3" s="116" customFormat="1" ht="29.25" thickBot="1" x14ac:dyDescent="0.25">
      <c r="A5" s="119" t="s">
        <v>77</v>
      </c>
      <c r="B5" s="118" t="s">
        <v>78</v>
      </c>
      <c r="C5" s="117">
        <v>44228</v>
      </c>
    </row>
    <row r="6" spans="1:3" s="116" customFormat="1" ht="29.25" thickBot="1" x14ac:dyDescent="0.25">
      <c r="A6" s="119" t="s">
        <v>79</v>
      </c>
      <c r="B6" s="118" t="s">
        <v>80</v>
      </c>
      <c r="C6" s="117">
        <v>44410</v>
      </c>
    </row>
    <row r="7" spans="1:3" s="116" customFormat="1" x14ac:dyDescent="0.2">
      <c r="A7" s="1"/>
      <c r="B7" s="1"/>
      <c r="C7" s="1"/>
    </row>
    <row r="8" spans="1:3" s="116" customFormat="1" ht="17.25" customHeight="1" x14ac:dyDescent="0.2">
      <c r="A8" s="286" t="s">
        <v>81</v>
      </c>
      <c r="B8" s="286"/>
      <c r="C8" s="286"/>
    </row>
    <row r="9" spans="1:3" s="116" customFormat="1" ht="74.25" customHeight="1" x14ac:dyDescent="0.2">
      <c r="A9" s="285" t="s">
        <v>82</v>
      </c>
      <c r="B9" s="285"/>
      <c r="C9" s="285"/>
    </row>
    <row r="10" spans="1:3" s="116" customFormat="1" ht="45.75" customHeight="1" x14ac:dyDescent="0.2">
      <c r="A10" s="285" t="s">
        <v>83</v>
      </c>
      <c r="B10" s="285"/>
      <c r="C10" s="285"/>
    </row>
    <row r="11" spans="1:3" s="116" customFormat="1" ht="57" customHeight="1" x14ac:dyDescent="0.2">
      <c r="A11" s="285" t="s">
        <v>84</v>
      </c>
      <c r="B11" s="285"/>
      <c r="C11" s="285"/>
    </row>
    <row r="12" spans="1:3" s="116" customFormat="1" ht="11.25" customHeight="1" x14ac:dyDescent="0.2">
      <c r="A12" s="285"/>
      <c r="B12" s="285"/>
      <c r="C12" s="285"/>
    </row>
    <row r="13" spans="1:3" s="116" customFormat="1" ht="15" customHeight="1" x14ac:dyDescent="0.2">
      <c r="A13" s="286" t="s">
        <v>85</v>
      </c>
      <c r="B13" s="286"/>
      <c r="C13" s="286"/>
    </row>
    <row r="14" spans="1:3" s="116" customFormat="1" ht="65.25" customHeight="1" x14ac:dyDescent="0.2">
      <c r="A14" s="285" t="s">
        <v>86</v>
      </c>
      <c r="B14" s="285"/>
      <c r="C14" s="285"/>
    </row>
    <row r="15" spans="1:3" s="58" customFormat="1" ht="50.25" customHeight="1" x14ac:dyDescent="0.2">
      <c r="A15" s="285" t="s">
        <v>87</v>
      </c>
      <c r="B15" s="285"/>
      <c r="C15" s="285"/>
    </row>
    <row r="16" spans="1:3" s="116" customFormat="1" x14ac:dyDescent="0.2">
      <c r="A16" s="285"/>
      <c r="B16" s="285"/>
      <c r="C16" s="285"/>
    </row>
    <row r="17" spans="1:3" s="116" customFormat="1" ht="16.5" customHeight="1" x14ac:dyDescent="0.2">
      <c r="A17" s="289" t="s">
        <v>88</v>
      </c>
      <c r="B17" s="289"/>
      <c r="C17" s="289"/>
    </row>
    <row r="18" spans="1:3" s="116" customFormat="1" ht="30.75" customHeight="1" x14ac:dyDescent="0.2">
      <c r="A18" s="288" t="s">
        <v>89</v>
      </c>
      <c r="B18" s="288"/>
      <c r="C18" s="288"/>
    </row>
    <row r="19" spans="1:3" s="116" customFormat="1" ht="30" customHeight="1" x14ac:dyDescent="0.2">
      <c r="A19" s="288" t="s">
        <v>90</v>
      </c>
      <c r="B19" s="288"/>
      <c r="C19" s="288"/>
    </row>
    <row r="20" spans="1:3" s="58" customFormat="1" ht="24.75" customHeight="1" x14ac:dyDescent="0.2">
      <c r="A20" s="288" t="s">
        <v>91</v>
      </c>
      <c r="B20" s="288"/>
      <c r="C20" s="288"/>
    </row>
    <row r="21" spans="1:3" s="116" customFormat="1" ht="30" customHeight="1" x14ac:dyDescent="0.2">
      <c r="A21" s="288" t="s">
        <v>92</v>
      </c>
      <c r="B21" s="288"/>
      <c r="C21" s="288"/>
    </row>
    <row r="22" spans="1:3" s="116" customFormat="1" x14ac:dyDescent="0.2">
      <c r="A22" s="285"/>
      <c r="B22" s="285"/>
      <c r="C22" s="285"/>
    </row>
    <row r="23" spans="1:3" s="116" customFormat="1" ht="12.75" customHeight="1" x14ac:dyDescent="0.2">
      <c r="A23" s="289" t="s">
        <v>93</v>
      </c>
      <c r="B23" s="289"/>
      <c r="C23" s="289"/>
    </row>
    <row r="24" spans="1:3" s="58" customFormat="1" ht="156.75" customHeight="1" x14ac:dyDescent="0.2">
      <c r="A24" s="288" t="s">
        <v>94</v>
      </c>
      <c r="B24" s="288"/>
      <c r="C24" s="288"/>
    </row>
    <row r="25" spans="1:3" s="116" customFormat="1" ht="160.5" customHeight="1" x14ac:dyDescent="0.2">
      <c r="A25" s="288" t="s">
        <v>95</v>
      </c>
      <c r="B25" s="288"/>
      <c r="C25" s="288"/>
    </row>
    <row r="26" spans="1:3" s="116" customFormat="1" x14ac:dyDescent="0.2">
      <c r="A26" s="285"/>
      <c r="B26" s="285"/>
      <c r="C26" s="285"/>
    </row>
    <row r="27" spans="1:3" s="116" customFormat="1" x14ac:dyDescent="0.2">
      <c r="A27" s="289" t="s">
        <v>96</v>
      </c>
      <c r="B27" s="289"/>
      <c r="C27" s="289"/>
    </row>
    <row r="28" spans="1:3" s="116" customFormat="1" ht="54" customHeight="1" x14ac:dyDescent="0.2">
      <c r="A28" s="288" t="s">
        <v>97</v>
      </c>
      <c r="B28" s="288"/>
      <c r="C28" s="288"/>
    </row>
    <row r="29" spans="1:3" ht="55.5" customHeight="1" x14ac:dyDescent="0.2">
      <c r="A29" s="288" t="s">
        <v>98</v>
      </c>
      <c r="B29" s="288"/>
      <c r="C29" s="288"/>
    </row>
    <row r="30" spans="1:3" s="116" customFormat="1" x14ac:dyDescent="0.2">
      <c r="A30" s="285"/>
      <c r="B30" s="285"/>
      <c r="C30" s="285"/>
    </row>
    <row r="31" spans="1:3" s="116" customFormat="1" x14ac:dyDescent="0.2">
      <c r="A31" s="286" t="s">
        <v>99</v>
      </c>
      <c r="B31" s="286"/>
      <c r="C31" s="286"/>
    </row>
    <row r="32" spans="1:3" s="116" customFormat="1" ht="43.5" customHeight="1" x14ac:dyDescent="0.2">
      <c r="A32" s="285" t="s">
        <v>100</v>
      </c>
      <c r="B32" s="285"/>
      <c r="C32" s="285"/>
    </row>
    <row r="33" spans="1:3" s="116" customFormat="1" x14ac:dyDescent="0.2">
      <c r="A33" s="1"/>
      <c r="B33" s="1"/>
      <c r="C33" s="1"/>
    </row>
    <row r="34" spans="1:3" s="116" customFormat="1" x14ac:dyDescent="0.2">
      <c r="A34" s="286" t="s">
        <v>101</v>
      </c>
      <c r="B34" s="286"/>
      <c r="C34" s="286"/>
    </row>
    <row r="35" spans="1:3" s="116" customFormat="1" ht="54" customHeight="1" x14ac:dyDescent="0.2">
      <c r="A35" s="285" t="s">
        <v>102</v>
      </c>
      <c r="B35" s="285"/>
      <c r="C35" s="285"/>
    </row>
    <row r="36" spans="1:3" x14ac:dyDescent="0.2">
      <c r="A36" s="285"/>
      <c r="B36" s="285"/>
      <c r="C36" s="285"/>
    </row>
  </sheetData>
  <sheetProtection algorithmName="SHA-512" hashValue="o9PnKCR2nEqBeFoxC8Nv9GPgsnQSQNrHxDkTTCnD7XScES/kClarPAhcbUefJTQLh235R+b4VCeANhCdgJH63g==" saltValue="ND0Lf0TMOAzAP8pCcVTXYQ==" spinCount="100000" sheet="1" objects="1" scenarios="1"/>
  <mergeCells count="30">
    <mergeCell ref="A36:C36"/>
    <mergeCell ref="A16:C16"/>
    <mergeCell ref="A24:C24"/>
    <mergeCell ref="A25:C25"/>
    <mergeCell ref="A26:C26"/>
    <mergeCell ref="A27:C27"/>
    <mergeCell ref="A17:C17"/>
    <mergeCell ref="A28:C28"/>
    <mergeCell ref="A18:C18"/>
    <mergeCell ref="A19:C19"/>
    <mergeCell ref="A20:C20"/>
    <mergeCell ref="A21:C21"/>
    <mergeCell ref="A22:C22"/>
    <mergeCell ref="A23:C23"/>
    <mergeCell ref="A34:C34"/>
    <mergeCell ref="A35:C35"/>
    <mergeCell ref="A30:C30"/>
    <mergeCell ref="A31:C31"/>
    <mergeCell ref="A32:C32"/>
    <mergeCell ref="A1:C1"/>
    <mergeCell ref="A8:C8"/>
    <mergeCell ref="A9:C9"/>
    <mergeCell ref="A10:C10"/>
    <mergeCell ref="A2:C2"/>
    <mergeCell ref="A11:C11"/>
    <mergeCell ref="A12:C12"/>
    <mergeCell ref="A13:C13"/>
    <mergeCell ref="A14:C14"/>
    <mergeCell ref="A15:C15"/>
    <mergeCell ref="A29:C29"/>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U144"/>
  <sheetViews>
    <sheetView showGridLines="0" topLeftCell="F2" zoomScale="80" zoomScaleNormal="80" workbookViewId="0">
      <selection activeCell="U2" sqref="U2"/>
    </sheetView>
  </sheetViews>
  <sheetFormatPr defaultColWidth="8.85546875" defaultRowHeight="12.75" outlineLevelRow="1" outlineLevelCol="1" x14ac:dyDescent="0.2"/>
  <cols>
    <col min="1" max="1" width="13.42578125" style="59" hidden="1" customWidth="1" outlineLevel="1"/>
    <col min="2" max="3" width="23.28515625" style="59" hidden="1" customWidth="1" outlineLevel="1"/>
    <col min="4" max="4" width="35" style="59" hidden="1" customWidth="1" outlineLevel="1"/>
    <col min="5" max="5" width="44" style="29" hidden="1" customWidth="1" outlineLevel="1"/>
    <col min="6" max="6" width="33.140625" style="29" customWidth="1" collapsed="1"/>
    <col min="7" max="7" width="36" style="29" customWidth="1"/>
    <col min="8" max="8" width="10.28515625" style="29" customWidth="1"/>
    <col min="9" max="9" width="9.85546875" style="29" customWidth="1"/>
    <col min="10" max="10" width="9.7109375" style="29" customWidth="1"/>
    <col min="11" max="11" width="10" style="29" customWidth="1"/>
    <col min="12" max="14" width="14.85546875" style="29" customWidth="1"/>
    <col min="15" max="17" width="14.42578125" style="29" customWidth="1"/>
    <col min="18" max="18" width="13.85546875" style="28" customWidth="1"/>
    <col min="19" max="19" width="16.7109375" style="27" customWidth="1"/>
    <col min="20" max="21" width="8.85546875" style="281"/>
    <col min="22" max="16384" width="8.85546875" style="43"/>
  </cols>
  <sheetData>
    <row r="1" spans="1:19" ht="168.75" hidden="1" outlineLevel="1" x14ac:dyDescent="0.2">
      <c r="A1" s="52" t="s">
        <v>0</v>
      </c>
      <c r="B1" s="52" t="s">
        <v>1</v>
      </c>
      <c r="C1" s="52" t="s">
        <v>2</v>
      </c>
      <c r="D1" s="52" t="s">
        <v>3</v>
      </c>
      <c r="E1" s="96" t="s">
        <v>4</v>
      </c>
      <c r="F1" s="56" t="s">
        <v>5</v>
      </c>
      <c r="G1" s="56" t="s">
        <v>6</v>
      </c>
      <c r="H1" s="55" t="s">
        <v>7</v>
      </c>
      <c r="I1" s="55" t="s">
        <v>8</v>
      </c>
      <c r="J1" s="55" t="s">
        <v>9</v>
      </c>
      <c r="K1" s="55" t="s">
        <v>10</v>
      </c>
      <c r="L1" s="55" t="s">
        <v>11</v>
      </c>
      <c r="M1" s="55" t="s">
        <v>12</v>
      </c>
      <c r="N1" s="55" t="s">
        <v>13</v>
      </c>
      <c r="O1" s="55" t="s">
        <v>14</v>
      </c>
      <c r="P1" s="55" t="s">
        <v>15</v>
      </c>
      <c r="Q1" s="55" t="s">
        <v>16</v>
      </c>
      <c r="R1" s="54" t="s">
        <v>17</v>
      </c>
      <c r="S1" s="53" t="s">
        <v>18</v>
      </c>
    </row>
    <row r="2" spans="1:19" ht="18" collapsed="1" x14ac:dyDescent="0.25">
      <c r="A2" s="52"/>
      <c r="B2" s="52"/>
      <c r="C2" s="52"/>
      <c r="D2" s="52"/>
      <c r="E2" s="96"/>
      <c r="F2" s="90" t="s">
        <v>20</v>
      </c>
      <c r="G2" s="56"/>
      <c r="H2" s="55"/>
      <c r="I2" s="55"/>
      <c r="J2" s="55"/>
      <c r="K2" s="55"/>
      <c r="L2" s="55"/>
      <c r="M2" s="55"/>
      <c r="N2" s="55"/>
      <c r="O2" s="55"/>
      <c r="P2" s="55"/>
      <c r="Q2" s="55"/>
      <c r="R2" s="54"/>
      <c r="S2" s="53"/>
    </row>
    <row r="3" spans="1:19" ht="18" x14ac:dyDescent="0.2">
      <c r="A3" s="52"/>
      <c r="B3" s="52"/>
      <c r="C3" s="52"/>
      <c r="D3" s="52"/>
      <c r="E3" s="96"/>
      <c r="F3" s="265" t="s">
        <v>103</v>
      </c>
      <c r="G3" s="56"/>
      <c r="H3" s="55"/>
      <c r="I3" s="55"/>
      <c r="J3" s="55"/>
      <c r="K3" s="55"/>
      <c r="L3" s="55"/>
      <c r="M3" s="55"/>
      <c r="N3" s="55"/>
      <c r="O3" s="55"/>
      <c r="P3" s="55"/>
      <c r="Q3" s="55"/>
      <c r="R3" s="54"/>
      <c r="S3" s="53"/>
    </row>
    <row r="4" spans="1:19" ht="13.5" thickBot="1" x14ac:dyDescent="0.25">
      <c r="A4" s="52"/>
      <c r="B4" s="52"/>
      <c r="C4" s="52"/>
      <c r="D4" s="52"/>
      <c r="E4" s="96"/>
      <c r="F4" s="56"/>
      <c r="G4" s="56"/>
      <c r="H4" s="55"/>
      <c r="I4" s="55"/>
      <c r="J4" s="55"/>
      <c r="K4" s="55"/>
      <c r="L4" s="55"/>
      <c r="M4" s="55"/>
      <c r="N4" s="55"/>
      <c r="O4" s="55"/>
      <c r="P4" s="55"/>
      <c r="Q4" s="55"/>
      <c r="R4" s="54"/>
      <c r="S4" s="53"/>
    </row>
    <row r="5" spans="1:19" ht="13.5" thickBot="1" x14ac:dyDescent="0.25">
      <c r="E5" s="43"/>
      <c r="F5" s="26" t="s">
        <v>19</v>
      </c>
      <c r="G5" s="25"/>
      <c r="H5" s="25"/>
      <c r="I5" s="25"/>
      <c r="J5" s="25"/>
      <c r="K5" s="25"/>
      <c r="L5" s="25"/>
      <c r="M5" s="25"/>
      <c r="N5" s="25"/>
      <c r="O5" s="25"/>
      <c r="P5" s="25"/>
      <c r="Q5" s="25"/>
      <c r="R5" s="210"/>
      <c r="S5" s="24"/>
    </row>
    <row r="6" spans="1:19" ht="33.75" x14ac:dyDescent="0.2">
      <c r="A6" s="59" t="str">
        <f t="shared" ref="A6:A17" si="0">$G$7</f>
        <v>WISE &amp; Healthy Aging</v>
      </c>
      <c r="B6" s="59" t="str">
        <f t="shared" ref="B6:B17" si="1">$G$8</f>
        <v>Oasis Westside</v>
      </c>
      <c r="F6" s="203"/>
      <c r="G6" s="98"/>
      <c r="H6" s="43"/>
      <c r="I6" s="43"/>
      <c r="J6" s="43"/>
      <c r="K6" s="43"/>
      <c r="L6" s="51" t="s">
        <v>21</v>
      </c>
      <c r="M6" s="51" t="s">
        <v>22</v>
      </c>
      <c r="N6" s="51" t="s">
        <v>23</v>
      </c>
      <c r="O6" s="51" t="s">
        <v>24</v>
      </c>
      <c r="P6" s="51" t="s">
        <v>25</v>
      </c>
      <c r="Q6" s="51" t="s">
        <v>26</v>
      </c>
      <c r="R6" s="64" t="s">
        <v>27</v>
      </c>
      <c r="S6" s="65" t="s">
        <v>28</v>
      </c>
    </row>
    <row r="7" spans="1:19" x14ac:dyDescent="0.2">
      <c r="A7" s="59" t="str">
        <f t="shared" si="0"/>
        <v>WISE &amp; Healthy Aging</v>
      </c>
      <c r="B7" s="59" t="str">
        <f t="shared" si="1"/>
        <v>Oasis Westside</v>
      </c>
      <c r="D7" s="59" t="s">
        <v>19</v>
      </c>
      <c r="E7" s="43" t="s">
        <v>29</v>
      </c>
      <c r="F7" s="266" t="s">
        <v>104</v>
      </c>
      <c r="G7" s="224" t="s">
        <v>105</v>
      </c>
      <c r="H7" s="43"/>
      <c r="I7" s="43" t="s">
        <v>29</v>
      </c>
      <c r="J7" s="43"/>
      <c r="K7" s="43"/>
      <c r="L7" s="49">
        <f t="shared" ref="L7:M7" si="2">L38</f>
        <v>106001</v>
      </c>
      <c r="M7" s="49">
        <f t="shared" si="2"/>
        <v>106001</v>
      </c>
      <c r="N7" s="49">
        <f>L7-M7</f>
        <v>0</v>
      </c>
      <c r="O7" s="49">
        <f t="shared" ref="O7:P7" si="3">O38</f>
        <v>47729.53</v>
      </c>
      <c r="P7" s="49">
        <f t="shared" si="3"/>
        <v>58270.89</v>
      </c>
      <c r="Q7" s="49">
        <f>Q38</f>
        <v>106000.42000000001</v>
      </c>
      <c r="R7" s="48">
        <f t="shared" ref="R7:R18" si="4">IFERROR(Q7/M7,"N/A")</f>
        <v>0.99999452835350622</v>
      </c>
      <c r="S7" s="197">
        <f>S38</f>
        <v>106000.53</v>
      </c>
    </row>
    <row r="8" spans="1:19" x14ac:dyDescent="0.2">
      <c r="A8" s="59" t="str">
        <f t="shared" si="0"/>
        <v>WISE &amp; Healthy Aging</v>
      </c>
      <c r="B8" s="59" t="str">
        <f t="shared" si="1"/>
        <v>Oasis Westside</v>
      </c>
      <c r="D8" s="59" t="s">
        <v>19</v>
      </c>
      <c r="E8" s="43" t="s">
        <v>30</v>
      </c>
      <c r="F8" s="266" t="s">
        <v>106</v>
      </c>
      <c r="G8" s="225" t="s">
        <v>107</v>
      </c>
      <c r="H8" s="43"/>
      <c r="I8" s="43" t="s">
        <v>30</v>
      </c>
      <c r="J8" s="43"/>
      <c r="K8" s="43"/>
      <c r="L8" s="49">
        <f t="shared" ref="L8:M8" si="5">L49</f>
        <v>11340</v>
      </c>
      <c r="M8" s="49">
        <f t="shared" si="5"/>
        <v>11340</v>
      </c>
      <c r="N8" s="49">
        <f t="shared" ref="N8:N17" si="6">L8-M8</f>
        <v>0</v>
      </c>
      <c r="O8" s="49">
        <f>O49</f>
        <v>7028.2599999999993</v>
      </c>
      <c r="P8" s="49">
        <f>P49</f>
        <v>4475</v>
      </c>
      <c r="Q8" s="49">
        <f>Q49</f>
        <v>11503.259999999998</v>
      </c>
      <c r="R8" s="48">
        <f t="shared" si="4"/>
        <v>1.0143968253968252</v>
      </c>
      <c r="S8" s="197">
        <f>S49</f>
        <v>11503</v>
      </c>
    </row>
    <row r="9" spans="1:19" x14ac:dyDescent="0.2">
      <c r="A9" s="59" t="str">
        <f t="shared" si="0"/>
        <v>WISE &amp; Healthy Aging</v>
      </c>
      <c r="B9" s="59" t="str">
        <f t="shared" si="1"/>
        <v>Oasis Westside</v>
      </c>
      <c r="D9" s="59" t="s">
        <v>19</v>
      </c>
      <c r="E9" s="43" t="s">
        <v>31</v>
      </c>
      <c r="F9" s="196"/>
      <c r="G9" s="43"/>
      <c r="H9" s="43"/>
      <c r="I9" s="43" t="s">
        <v>31</v>
      </c>
      <c r="J9" s="43"/>
      <c r="K9" s="43"/>
      <c r="L9" s="49">
        <f t="shared" ref="L9:M9" si="7">L61</f>
        <v>10626</v>
      </c>
      <c r="M9" s="49">
        <f t="shared" si="7"/>
        <v>10626</v>
      </c>
      <c r="N9" s="49">
        <f t="shared" si="6"/>
        <v>0</v>
      </c>
      <c r="O9" s="49">
        <f>O61</f>
        <v>7107.1799999999994</v>
      </c>
      <c r="P9" s="49">
        <f>P61</f>
        <v>3326</v>
      </c>
      <c r="Q9" s="49">
        <f>Q61</f>
        <v>10433.18</v>
      </c>
      <c r="R9" s="48">
        <f t="shared" si="4"/>
        <v>0.981853943158291</v>
      </c>
      <c r="S9" s="197">
        <f>S61</f>
        <v>10434</v>
      </c>
    </row>
    <row r="10" spans="1:19" x14ac:dyDescent="0.2">
      <c r="A10" s="59" t="str">
        <f t="shared" si="0"/>
        <v>WISE &amp; Healthy Aging</v>
      </c>
      <c r="B10" s="59" t="str">
        <f t="shared" si="1"/>
        <v>Oasis Westside</v>
      </c>
      <c r="D10" s="59" t="s">
        <v>19</v>
      </c>
      <c r="E10" s="43" t="s">
        <v>32</v>
      </c>
      <c r="F10" s="196"/>
      <c r="G10" s="43"/>
      <c r="H10" s="43"/>
      <c r="I10" s="43" t="s">
        <v>32</v>
      </c>
      <c r="J10" s="43"/>
      <c r="K10" s="43"/>
      <c r="L10" s="49">
        <f t="shared" ref="L10:M10" si="8">L70</f>
        <v>0</v>
      </c>
      <c r="M10" s="49">
        <f t="shared" si="8"/>
        <v>0</v>
      </c>
      <c r="N10" s="49">
        <f t="shared" si="6"/>
        <v>0</v>
      </c>
      <c r="O10" s="49">
        <f>O70</f>
        <v>0</v>
      </c>
      <c r="P10" s="49">
        <f>P70</f>
        <v>0</v>
      </c>
      <c r="Q10" s="49">
        <f>Q70</f>
        <v>0</v>
      </c>
      <c r="R10" s="48" t="str">
        <f t="shared" si="4"/>
        <v>N/A</v>
      </c>
      <c r="S10" s="197">
        <f>S70</f>
        <v>0</v>
      </c>
    </row>
    <row r="11" spans="1:19" x14ac:dyDescent="0.2">
      <c r="A11" s="59" t="str">
        <f t="shared" si="0"/>
        <v>WISE &amp; Healthy Aging</v>
      </c>
      <c r="B11" s="59" t="str">
        <f t="shared" si="1"/>
        <v>Oasis Westside</v>
      </c>
      <c r="D11" s="59" t="s">
        <v>19</v>
      </c>
      <c r="E11" s="43" t="s">
        <v>33</v>
      </c>
      <c r="F11" s="37" t="s">
        <v>108</v>
      </c>
      <c r="G11" s="267" t="s">
        <v>114</v>
      </c>
      <c r="H11" s="43"/>
      <c r="I11" s="43" t="s">
        <v>33</v>
      </c>
      <c r="J11" s="43"/>
      <c r="K11" s="43"/>
      <c r="L11" s="49">
        <f t="shared" ref="L11:M11" si="9">L77</f>
        <v>0</v>
      </c>
      <c r="M11" s="49">
        <f t="shared" si="9"/>
        <v>0</v>
      </c>
      <c r="N11" s="49">
        <f t="shared" si="6"/>
        <v>0</v>
      </c>
      <c r="O11" s="49">
        <f>O77</f>
        <v>0</v>
      </c>
      <c r="P11" s="49">
        <f>P77</f>
        <v>0</v>
      </c>
      <c r="Q11" s="49">
        <f>Q77</f>
        <v>0</v>
      </c>
      <c r="R11" s="48" t="str">
        <f t="shared" si="4"/>
        <v>N/A</v>
      </c>
      <c r="S11" s="197">
        <f>S77</f>
        <v>0</v>
      </c>
    </row>
    <row r="12" spans="1:19" x14ac:dyDescent="0.2">
      <c r="A12" s="59" t="str">
        <f t="shared" si="0"/>
        <v>WISE &amp; Healthy Aging</v>
      </c>
      <c r="B12" s="59" t="str">
        <f t="shared" si="1"/>
        <v>Oasis Westside</v>
      </c>
      <c r="D12" s="59" t="s">
        <v>19</v>
      </c>
      <c r="E12" s="43" t="s">
        <v>34</v>
      </c>
      <c r="F12" s="196"/>
      <c r="G12" s="43"/>
      <c r="H12" s="43"/>
      <c r="I12" s="43" t="s">
        <v>34</v>
      </c>
      <c r="J12" s="43"/>
      <c r="K12" s="43"/>
      <c r="L12" s="49">
        <f t="shared" ref="L12:M12" si="10">L84</f>
        <v>48</v>
      </c>
      <c r="M12" s="49">
        <f t="shared" si="10"/>
        <v>48</v>
      </c>
      <c r="N12" s="49">
        <f t="shared" si="6"/>
        <v>0</v>
      </c>
      <c r="O12" s="49">
        <f>O84</f>
        <v>46.74</v>
      </c>
      <c r="P12" s="49">
        <f>P84</f>
        <v>0</v>
      </c>
      <c r="Q12" s="49">
        <f>Q84</f>
        <v>46.74</v>
      </c>
      <c r="R12" s="48">
        <f t="shared" si="4"/>
        <v>0.97375</v>
      </c>
      <c r="S12" s="197">
        <f>S84</f>
        <v>46.74</v>
      </c>
    </row>
    <row r="13" spans="1:19" x14ac:dyDescent="0.2">
      <c r="A13" s="59" t="str">
        <f t="shared" si="0"/>
        <v>WISE &amp; Healthy Aging</v>
      </c>
      <c r="B13" s="59" t="str">
        <f t="shared" si="1"/>
        <v>Oasis Westside</v>
      </c>
      <c r="D13" s="59" t="s">
        <v>19</v>
      </c>
      <c r="E13" s="43" t="s">
        <v>35</v>
      </c>
      <c r="F13" s="196"/>
      <c r="G13" s="43"/>
      <c r="H13" s="43"/>
      <c r="I13" s="43" t="s">
        <v>35</v>
      </c>
      <c r="J13" s="43"/>
      <c r="K13" s="43"/>
      <c r="L13" s="49">
        <f t="shared" ref="L13:M13" si="11">L91</f>
        <v>1405</v>
      </c>
      <c r="M13" s="49">
        <f t="shared" si="11"/>
        <v>1405</v>
      </c>
      <c r="N13" s="49">
        <f t="shared" si="6"/>
        <v>0</v>
      </c>
      <c r="O13" s="49">
        <f>O91</f>
        <v>694.2</v>
      </c>
      <c r="P13" s="49">
        <f>P91</f>
        <v>712</v>
      </c>
      <c r="Q13" s="49">
        <f>Q91</f>
        <v>1406.2</v>
      </c>
      <c r="R13" s="48">
        <f t="shared" si="4"/>
        <v>1.0008540925266904</v>
      </c>
      <c r="S13" s="197">
        <f>S91</f>
        <v>1406</v>
      </c>
    </row>
    <row r="14" spans="1:19" x14ac:dyDescent="0.2">
      <c r="A14" s="59" t="str">
        <f t="shared" si="0"/>
        <v>WISE &amp; Healthy Aging</v>
      </c>
      <c r="B14" s="59" t="str">
        <f t="shared" si="1"/>
        <v>Oasis Westside</v>
      </c>
      <c r="D14" s="59" t="s">
        <v>19</v>
      </c>
      <c r="E14" s="43" t="s">
        <v>36</v>
      </c>
      <c r="F14" s="196" t="s">
        <v>110</v>
      </c>
      <c r="G14" s="268">
        <v>156316</v>
      </c>
      <c r="H14" s="43"/>
      <c r="I14" s="43" t="s">
        <v>36</v>
      </c>
      <c r="J14" s="43"/>
      <c r="K14" s="43"/>
      <c r="L14" s="49">
        <f t="shared" ref="L14:M14" si="12">L106</f>
        <v>3175</v>
      </c>
      <c r="M14" s="49">
        <f t="shared" si="12"/>
        <v>3175</v>
      </c>
      <c r="N14" s="49">
        <f t="shared" si="6"/>
        <v>0</v>
      </c>
      <c r="O14" s="49">
        <f>O106</f>
        <v>1584.2000000000003</v>
      </c>
      <c r="P14" s="49">
        <f>P106</f>
        <v>1621</v>
      </c>
      <c r="Q14" s="49">
        <f>Q106</f>
        <v>3205.2000000000003</v>
      </c>
      <c r="R14" s="48">
        <f t="shared" si="4"/>
        <v>1.0095118110236221</v>
      </c>
      <c r="S14" s="197">
        <f>S106</f>
        <v>3204.7</v>
      </c>
    </row>
    <row r="15" spans="1:19" x14ac:dyDescent="0.2">
      <c r="A15" s="59" t="str">
        <f t="shared" si="0"/>
        <v>WISE &amp; Healthy Aging</v>
      </c>
      <c r="B15" s="59" t="str">
        <f t="shared" si="1"/>
        <v>Oasis Westside</v>
      </c>
      <c r="D15" s="59" t="s">
        <v>19</v>
      </c>
      <c r="E15" s="43" t="s">
        <v>37</v>
      </c>
      <c r="F15" s="196" t="s">
        <v>111</v>
      </c>
      <c r="G15" s="269">
        <f>Q18</f>
        <v>156316.00000000003</v>
      </c>
      <c r="H15" s="43"/>
      <c r="I15" s="43" t="s">
        <v>37</v>
      </c>
      <c r="J15" s="43"/>
      <c r="K15" s="43"/>
      <c r="L15" s="49">
        <f t="shared" ref="L15:M15" si="13">L113</f>
        <v>0</v>
      </c>
      <c r="M15" s="49">
        <f t="shared" si="13"/>
        <v>0</v>
      </c>
      <c r="N15" s="49">
        <f t="shared" si="6"/>
        <v>0</v>
      </c>
      <c r="O15" s="49">
        <f>O113</f>
        <v>0</v>
      </c>
      <c r="P15" s="49">
        <f>P113</f>
        <v>0</v>
      </c>
      <c r="Q15" s="49">
        <f>Q113</f>
        <v>0</v>
      </c>
      <c r="R15" s="48" t="str">
        <f t="shared" si="4"/>
        <v>N/A</v>
      </c>
      <c r="S15" s="197">
        <f>S113</f>
        <v>0</v>
      </c>
    </row>
    <row r="16" spans="1:19" x14ac:dyDescent="0.2">
      <c r="A16" s="59" t="str">
        <f t="shared" si="0"/>
        <v>WISE &amp; Healthy Aging</v>
      </c>
      <c r="B16" s="59" t="str">
        <f t="shared" si="1"/>
        <v>Oasis Westside</v>
      </c>
      <c r="D16" s="59" t="s">
        <v>19</v>
      </c>
      <c r="E16" s="43" t="s">
        <v>38</v>
      </c>
      <c r="F16" s="196" t="s">
        <v>112</v>
      </c>
      <c r="G16" s="269">
        <f>G14-G15</f>
        <v>0</v>
      </c>
      <c r="H16" s="43"/>
      <c r="I16" s="43" t="s">
        <v>38</v>
      </c>
      <c r="J16" s="43"/>
      <c r="K16" s="43"/>
      <c r="L16" s="49">
        <f t="shared" ref="L16:M16" si="14">L120</f>
        <v>0</v>
      </c>
      <c r="M16" s="49">
        <f t="shared" si="14"/>
        <v>0</v>
      </c>
      <c r="N16" s="49">
        <f t="shared" si="6"/>
        <v>0</v>
      </c>
      <c r="O16" s="49">
        <f>O120</f>
        <v>0</v>
      </c>
      <c r="P16" s="49">
        <f>P120</f>
        <v>0</v>
      </c>
      <c r="Q16" s="49">
        <f>Q120</f>
        <v>0</v>
      </c>
      <c r="R16" s="48" t="str">
        <f t="shared" si="4"/>
        <v>N/A</v>
      </c>
      <c r="S16" s="197">
        <f>S120</f>
        <v>0</v>
      </c>
    </row>
    <row r="17" spans="1:21" x14ac:dyDescent="0.2">
      <c r="A17" s="59" t="str">
        <f t="shared" si="0"/>
        <v>WISE &amp; Healthy Aging</v>
      </c>
      <c r="B17" s="59" t="str">
        <f t="shared" si="1"/>
        <v>Oasis Westside</v>
      </c>
      <c r="D17" s="59" t="s">
        <v>19</v>
      </c>
      <c r="E17" s="43" t="s">
        <v>39</v>
      </c>
      <c r="F17" s="196"/>
      <c r="G17" s="43"/>
      <c r="H17" s="43"/>
      <c r="I17" s="43" t="s">
        <v>39</v>
      </c>
      <c r="J17" s="43"/>
      <c r="K17" s="43"/>
      <c r="L17" s="49">
        <f t="shared" ref="L17:M17" si="15">L129</f>
        <v>23721</v>
      </c>
      <c r="M17" s="49">
        <f t="shared" si="15"/>
        <v>23721</v>
      </c>
      <c r="N17" s="49">
        <f t="shared" si="6"/>
        <v>0</v>
      </c>
      <c r="O17" s="49">
        <f>O129</f>
        <v>11862</v>
      </c>
      <c r="P17" s="49">
        <f>P129</f>
        <v>11859</v>
      </c>
      <c r="Q17" s="49">
        <f>Q129</f>
        <v>23721</v>
      </c>
      <c r="R17" s="48">
        <f t="shared" si="4"/>
        <v>1</v>
      </c>
      <c r="S17" s="197">
        <f>S129</f>
        <v>23721</v>
      </c>
    </row>
    <row r="18" spans="1:21" ht="13.5" thickBot="1" x14ac:dyDescent="0.25">
      <c r="E18" s="43"/>
      <c r="F18" s="198"/>
      <c r="G18" s="199"/>
      <c r="H18" s="66"/>
      <c r="I18" s="199" t="s">
        <v>40</v>
      </c>
      <c r="J18" s="199"/>
      <c r="K18" s="199"/>
      <c r="L18" s="200">
        <f t="shared" ref="L18:Q18" si="16">SUM(L7:L17)</f>
        <v>156316</v>
      </c>
      <c r="M18" s="200">
        <f t="shared" si="16"/>
        <v>156316</v>
      </c>
      <c r="N18" s="200">
        <f t="shared" si="16"/>
        <v>0</v>
      </c>
      <c r="O18" s="200">
        <f t="shared" si="16"/>
        <v>76052.109999999986</v>
      </c>
      <c r="P18" s="200">
        <f t="shared" si="16"/>
        <v>80263.89</v>
      </c>
      <c r="Q18" s="200">
        <f t="shared" si="16"/>
        <v>156316.00000000003</v>
      </c>
      <c r="R18" s="201">
        <f t="shared" si="4"/>
        <v>1.0000000000000002</v>
      </c>
      <c r="S18" s="202">
        <f>SUM(S7:S17)</f>
        <v>156315.97</v>
      </c>
    </row>
    <row r="19" spans="1:21" ht="13.5" thickBot="1" x14ac:dyDescent="0.25">
      <c r="E19" s="43"/>
      <c r="F19" s="36"/>
      <c r="G19" s="43"/>
      <c r="H19" s="43"/>
      <c r="I19" s="36"/>
      <c r="J19" s="36"/>
      <c r="K19" s="36"/>
      <c r="L19" s="124"/>
      <c r="M19" s="124"/>
      <c r="N19" s="124"/>
      <c r="O19" s="124"/>
      <c r="P19" s="124"/>
      <c r="Q19" s="124"/>
      <c r="R19" s="105"/>
      <c r="S19" s="124"/>
    </row>
    <row r="20" spans="1:21" ht="13.5" hidden="1" thickBot="1" x14ac:dyDescent="0.25">
      <c r="E20" s="43"/>
      <c r="F20" s="43" t="s">
        <v>109</v>
      </c>
      <c r="G20" s="43"/>
      <c r="H20" s="43"/>
      <c r="I20" s="36"/>
      <c r="J20" s="36"/>
      <c r="K20" s="36"/>
      <c r="L20" s="124"/>
      <c r="M20" s="124"/>
      <c r="N20" s="124"/>
      <c r="O20" s="124"/>
      <c r="P20" s="124"/>
      <c r="Q20" s="124"/>
      <c r="R20" s="105"/>
      <c r="S20" s="124"/>
    </row>
    <row r="21" spans="1:21" ht="13.5" hidden="1" thickBot="1" x14ac:dyDescent="0.25">
      <c r="E21" s="43"/>
      <c r="F21" s="196" t="s">
        <v>113</v>
      </c>
      <c r="G21" s="43"/>
      <c r="H21" s="43"/>
      <c r="I21" s="36"/>
      <c r="J21" s="36"/>
      <c r="K21" s="36"/>
      <c r="L21" s="124"/>
      <c r="M21" s="124"/>
      <c r="N21" s="124"/>
      <c r="O21" s="124"/>
      <c r="P21" s="124"/>
      <c r="Q21" s="124"/>
      <c r="R21" s="105"/>
      <c r="S21" s="124"/>
    </row>
    <row r="22" spans="1:21" ht="13.5" hidden="1" thickBot="1" x14ac:dyDescent="0.25">
      <c r="F22" s="196" t="s">
        <v>114</v>
      </c>
      <c r="G22" s="43"/>
      <c r="H22" s="43"/>
      <c r="I22" s="43"/>
      <c r="J22" s="43"/>
      <c r="K22" s="43"/>
    </row>
    <row r="23" spans="1:21" ht="13.5" thickBot="1" x14ac:dyDescent="0.25">
      <c r="E23" s="43"/>
      <c r="F23" s="26" t="s">
        <v>41</v>
      </c>
      <c r="G23" s="25"/>
      <c r="H23" s="25"/>
      <c r="I23" s="25"/>
      <c r="J23" s="25"/>
      <c r="K23" s="25"/>
      <c r="L23" s="25"/>
      <c r="M23" s="25"/>
      <c r="N23" s="25"/>
      <c r="O23" s="25"/>
      <c r="P23" s="25"/>
      <c r="Q23" s="25"/>
      <c r="R23" s="210"/>
      <c r="S23" s="24"/>
    </row>
    <row r="24" spans="1:21" ht="13.5" thickBot="1" x14ac:dyDescent="0.25">
      <c r="F24" s="43"/>
      <c r="G24" s="43"/>
      <c r="H24" s="43"/>
      <c r="I24" s="43"/>
      <c r="J24" s="43"/>
      <c r="K24" s="43"/>
    </row>
    <row r="25" spans="1:21" x14ac:dyDescent="0.2">
      <c r="F25" s="180" t="s">
        <v>42</v>
      </c>
      <c r="G25" s="181"/>
      <c r="H25" s="181"/>
      <c r="I25" s="181"/>
      <c r="J25" s="181"/>
      <c r="K25" s="182"/>
      <c r="L25" s="183"/>
      <c r="M25" s="183"/>
      <c r="N25" s="183"/>
      <c r="O25" s="183"/>
      <c r="P25" s="183"/>
      <c r="Q25" s="183"/>
      <c r="R25" s="184"/>
      <c r="S25" s="185"/>
    </row>
    <row r="26" spans="1:21" s="82" customFormat="1" ht="11.25" x14ac:dyDescent="0.2">
      <c r="A26" s="77"/>
      <c r="B26" s="77"/>
      <c r="C26" s="77"/>
      <c r="D26" s="77"/>
      <c r="E26" s="86"/>
      <c r="F26" s="186" t="s">
        <v>115</v>
      </c>
      <c r="G26" s="88"/>
      <c r="H26" s="88"/>
      <c r="I26" s="88"/>
      <c r="J26" s="88"/>
      <c r="K26" s="80"/>
      <c r="L26" s="22"/>
      <c r="M26" s="22"/>
      <c r="N26" s="22"/>
      <c r="O26" s="22"/>
      <c r="P26" s="22"/>
      <c r="Q26" s="22"/>
      <c r="R26" s="21"/>
      <c r="S26" s="187"/>
      <c r="T26" s="282"/>
      <c r="U26" s="282"/>
    </row>
    <row r="27" spans="1:21" s="82" customFormat="1" ht="33.75" x14ac:dyDescent="0.2">
      <c r="A27" s="59"/>
      <c r="B27" s="59"/>
      <c r="C27" s="77"/>
      <c r="D27" s="89"/>
      <c r="E27" s="86"/>
      <c r="F27" s="188" t="s">
        <v>43</v>
      </c>
      <c r="G27" s="68" t="s">
        <v>44</v>
      </c>
      <c r="H27" s="51" t="s">
        <v>7</v>
      </c>
      <c r="I27" s="51" t="s">
        <v>8</v>
      </c>
      <c r="J27" s="51" t="s">
        <v>9</v>
      </c>
      <c r="K27" s="51" t="s">
        <v>252</v>
      </c>
      <c r="L27" s="51" t="s">
        <v>21</v>
      </c>
      <c r="M27" s="51" t="s">
        <v>22</v>
      </c>
      <c r="N27" s="51" t="s">
        <v>23</v>
      </c>
      <c r="O27" s="51" t="s">
        <v>24</v>
      </c>
      <c r="P27" s="51" t="s">
        <v>25</v>
      </c>
      <c r="Q27" s="51" t="s">
        <v>26</v>
      </c>
      <c r="R27" s="64" t="s">
        <v>27</v>
      </c>
      <c r="S27" s="189" t="s">
        <v>28</v>
      </c>
      <c r="T27" s="282"/>
      <c r="U27" s="282"/>
    </row>
    <row r="28" spans="1:21" hidden="1" outlineLevel="1" x14ac:dyDescent="0.2">
      <c r="A28" s="59" t="str">
        <f t="shared" ref="A28:A37" si="17">$G$7</f>
        <v>WISE &amp; Healthy Aging</v>
      </c>
      <c r="B28" s="59" t="str">
        <f t="shared" ref="B28:B37" si="18">$G$8</f>
        <v>Oasis Westside</v>
      </c>
      <c r="D28" s="59" t="s">
        <v>41</v>
      </c>
      <c r="E28" s="29" t="s">
        <v>42</v>
      </c>
      <c r="F28" s="226" t="s">
        <v>116</v>
      </c>
      <c r="G28" s="227" t="s">
        <v>117</v>
      </c>
      <c r="H28" s="228">
        <v>1</v>
      </c>
      <c r="I28" s="229">
        <v>9166.6666666666661</v>
      </c>
      <c r="J28" s="228">
        <f>H28*K28</f>
        <v>0.3</v>
      </c>
      <c r="K28" s="231">
        <v>0.3</v>
      </c>
      <c r="L28" s="232">
        <f>19000+5920</f>
        <v>24920</v>
      </c>
      <c r="M28" s="232">
        <f>19000+5920</f>
        <v>24920</v>
      </c>
      <c r="N28" s="233">
        <f>L28-M28</f>
        <v>0</v>
      </c>
      <c r="O28" s="270">
        <f>3659.62</f>
        <v>3659.62</v>
      </c>
      <c r="P28" s="270">
        <f>24920-3660-0.11</f>
        <v>21259.89</v>
      </c>
      <c r="Q28" s="50">
        <f t="shared" ref="Q28:Q37" si="19">SUM(O28:P28)</f>
        <v>24919.51</v>
      </c>
      <c r="R28" s="48">
        <f t="shared" ref="R28:R38" si="20">IFERROR(Q28/M28,"N/A")</f>
        <v>0.99998033707865164</v>
      </c>
      <c r="S28" s="271">
        <v>24919.62</v>
      </c>
    </row>
    <row r="29" spans="1:21" hidden="1" outlineLevel="1" x14ac:dyDescent="0.2">
      <c r="A29" s="59" t="str">
        <f t="shared" si="17"/>
        <v>WISE &amp; Healthy Aging</v>
      </c>
      <c r="B29" s="59" t="str">
        <f t="shared" si="18"/>
        <v>Oasis Westside</v>
      </c>
      <c r="D29" s="59" t="s">
        <v>41</v>
      </c>
      <c r="E29" s="29" t="s">
        <v>42</v>
      </c>
      <c r="F29" s="226" t="s">
        <v>119</v>
      </c>
      <c r="G29" s="227" t="s">
        <v>120</v>
      </c>
      <c r="H29" s="228">
        <v>1</v>
      </c>
      <c r="I29" s="229">
        <v>5833.333333333333</v>
      </c>
      <c r="J29" s="230">
        <f>H29*K29</f>
        <v>0.25</v>
      </c>
      <c r="K29" s="231">
        <v>0.25</v>
      </c>
      <c r="L29" s="232">
        <v>17500</v>
      </c>
      <c r="M29" s="232">
        <v>17500</v>
      </c>
      <c r="N29" s="234">
        <f t="shared" ref="N29:N37" si="21">L29-M29</f>
        <v>0</v>
      </c>
      <c r="O29" s="270">
        <v>11253.46</v>
      </c>
      <c r="P29" s="270">
        <f>17500-11253</f>
        <v>6247</v>
      </c>
      <c r="Q29" s="50">
        <f t="shared" si="19"/>
        <v>17500.46</v>
      </c>
      <c r="R29" s="48">
        <f t="shared" si="20"/>
        <v>1.0000262857142856</v>
      </c>
      <c r="S29" s="271">
        <v>17500.46</v>
      </c>
    </row>
    <row r="30" spans="1:21" collapsed="1" x14ac:dyDescent="0.2">
      <c r="F30" s="226"/>
      <c r="G30" s="227" t="s">
        <v>118</v>
      </c>
      <c r="H30" s="228"/>
      <c r="I30" s="229"/>
      <c r="J30" s="230"/>
      <c r="K30" s="228">
        <f>SUM(J28:J29)</f>
        <v>0.55000000000000004</v>
      </c>
      <c r="L30" s="232">
        <f>SUM(L28:L29)</f>
        <v>42420</v>
      </c>
      <c r="M30" s="232">
        <f t="shared" ref="M30:Q30" si="22">SUM(M28:M29)</f>
        <v>42420</v>
      </c>
      <c r="N30" s="234">
        <f t="shared" si="22"/>
        <v>0</v>
      </c>
      <c r="O30" s="270">
        <f t="shared" si="22"/>
        <v>14913.079999999998</v>
      </c>
      <c r="P30" s="270">
        <f t="shared" si="22"/>
        <v>27506.89</v>
      </c>
      <c r="Q30" s="50">
        <f t="shared" si="22"/>
        <v>42419.97</v>
      </c>
      <c r="R30" s="48">
        <f t="shared" si="20"/>
        <v>0.99999929278642152</v>
      </c>
      <c r="S30" s="271">
        <f>SUM(S28:S29)</f>
        <v>42420.08</v>
      </c>
    </row>
    <row r="31" spans="1:21" hidden="1" outlineLevel="1" x14ac:dyDescent="0.2">
      <c r="A31" s="59" t="str">
        <f t="shared" si="17"/>
        <v>WISE &amp; Healthy Aging</v>
      </c>
      <c r="B31" s="59" t="str">
        <f t="shared" si="18"/>
        <v>Oasis Westside</v>
      </c>
      <c r="D31" s="59" t="s">
        <v>41</v>
      </c>
      <c r="E31" s="29" t="s">
        <v>42</v>
      </c>
      <c r="F31" s="226" t="s">
        <v>121</v>
      </c>
      <c r="G31" s="227" t="s">
        <v>122</v>
      </c>
      <c r="H31" s="228">
        <v>0.63</v>
      </c>
      <c r="I31" s="229">
        <v>4333.333333333333</v>
      </c>
      <c r="J31" s="230">
        <f t="shared" ref="J31:J35" si="23">H31*K31</f>
        <v>0.63</v>
      </c>
      <c r="K31" s="231">
        <v>1</v>
      </c>
      <c r="L31" s="232">
        <f>32500+925</f>
        <v>33425</v>
      </c>
      <c r="M31" s="232">
        <f>32500+925</f>
        <v>33425</v>
      </c>
      <c r="N31" s="234">
        <f t="shared" si="21"/>
        <v>0</v>
      </c>
      <c r="O31" s="270">
        <f>17239.38</f>
        <v>17239.38</v>
      </c>
      <c r="P31" s="270">
        <f>33425-17239</f>
        <v>16186</v>
      </c>
      <c r="Q31" s="50">
        <f t="shared" si="19"/>
        <v>33425.380000000005</v>
      </c>
      <c r="R31" s="48">
        <f t="shared" si="20"/>
        <v>1.0000113687359762</v>
      </c>
      <c r="S31" s="271">
        <v>33425.380000000005</v>
      </c>
    </row>
    <row r="32" spans="1:21" hidden="1" outlineLevel="1" x14ac:dyDescent="0.2">
      <c r="A32" s="59" t="str">
        <f t="shared" si="17"/>
        <v>WISE &amp; Healthy Aging</v>
      </c>
      <c r="B32" s="59" t="str">
        <f t="shared" si="18"/>
        <v>Oasis Westside</v>
      </c>
      <c r="D32" s="59" t="s">
        <v>41</v>
      </c>
      <c r="E32" s="29" t="s">
        <v>42</v>
      </c>
      <c r="F32" s="226" t="s">
        <v>124</v>
      </c>
      <c r="G32" s="227" t="s">
        <v>125</v>
      </c>
      <c r="H32" s="228">
        <v>1</v>
      </c>
      <c r="I32" s="229">
        <v>3120</v>
      </c>
      <c r="J32" s="230">
        <f t="shared" si="23"/>
        <v>0.91</v>
      </c>
      <c r="K32" s="231">
        <v>0.91</v>
      </c>
      <c r="L32" s="232">
        <f>15500-4154</f>
        <v>11346</v>
      </c>
      <c r="M32" s="232">
        <f>15500-4154</f>
        <v>11346</v>
      </c>
      <c r="N32" s="234">
        <f t="shared" si="21"/>
        <v>0</v>
      </c>
      <c r="O32" s="270">
        <f>11345.85</f>
        <v>11345.85</v>
      </c>
      <c r="P32" s="270">
        <v>0</v>
      </c>
      <c r="Q32" s="50">
        <f t="shared" si="19"/>
        <v>11345.85</v>
      </c>
      <c r="R32" s="48">
        <f t="shared" si="20"/>
        <v>0.99998677948175574</v>
      </c>
      <c r="S32" s="271">
        <v>11345.85</v>
      </c>
    </row>
    <row r="33" spans="1:21" hidden="1" outlineLevel="1" x14ac:dyDescent="0.2">
      <c r="A33" s="59" t="str">
        <f t="shared" si="17"/>
        <v>WISE &amp; Healthy Aging</v>
      </c>
      <c r="B33" s="59" t="str">
        <f t="shared" si="18"/>
        <v>Oasis Westside</v>
      </c>
      <c r="D33" s="59" t="s">
        <v>41</v>
      </c>
      <c r="E33" s="29" t="s">
        <v>42</v>
      </c>
      <c r="F33" s="226" t="s">
        <v>126</v>
      </c>
      <c r="G33" s="227" t="s">
        <v>127</v>
      </c>
      <c r="H33" s="228">
        <v>1</v>
      </c>
      <c r="I33" s="229">
        <v>3900</v>
      </c>
      <c r="J33" s="230">
        <f t="shared" si="23"/>
        <v>0.19</v>
      </c>
      <c r="K33" s="231">
        <v>0.19</v>
      </c>
      <c r="L33" s="232">
        <f>9360-485</f>
        <v>8875</v>
      </c>
      <c r="M33" s="232">
        <f>9360-485</f>
        <v>8875</v>
      </c>
      <c r="N33" s="234">
        <f t="shared" si="21"/>
        <v>0</v>
      </c>
      <c r="O33" s="270">
        <f>4231.22</f>
        <v>4231.22</v>
      </c>
      <c r="P33" s="270">
        <v>4643</v>
      </c>
      <c r="Q33" s="50">
        <f t="shared" si="19"/>
        <v>8874.2200000000012</v>
      </c>
      <c r="R33" s="48">
        <f t="shared" si="20"/>
        <v>0.99991211267605651</v>
      </c>
      <c r="S33" s="271">
        <v>8874.2200000000012</v>
      </c>
    </row>
    <row r="34" spans="1:21" hidden="1" outlineLevel="1" x14ac:dyDescent="0.2">
      <c r="F34" s="226" t="s">
        <v>128</v>
      </c>
      <c r="G34" s="227" t="s">
        <v>125</v>
      </c>
      <c r="H34" s="235">
        <v>1</v>
      </c>
      <c r="I34" s="236">
        <v>3466.67</v>
      </c>
      <c r="J34" s="237">
        <f t="shared" si="23"/>
        <v>0.8</v>
      </c>
      <c r="K34" s="238">
        <v>0.8</v>
      </c>
      <c r="L34" s="232">
        <v>8335</v>
      </c>
      <c r="M34" s="232">
        <v>8335</v>
      </c>
      <c r="N34" s="234">
        <f t="shared" ref="N34:N35" si="24">L34-M34</f>
        <v>0</v>
      </c>
      <c r="O34" s="270">
        <v>0</v>
      </c>
      <c r="P34" s="270">
        <v>8335</v>
      </c>
      <c r="Q34" s="50">
        <f t="shared" ref="Q34:Q35" si="25">SUM(O34:P34)</f>
        <v>8335</v>
      </c>
      <c r="R34" s="48">
        <f t="shared" ref="R34:R36" si="26">IFERROR(Q34/M34,"N/A")</f>
        <v>1</v>
      </c>
      <c r="S34" s="271">
        <v>8335</v>
      </c>
    </row>
    <row r="35" spans="1:21" hidden="1" outlineLevel="1" x14ac:dyDescent="0.2">
      <c r="F35" s="226" t="s">
        <v>129</v>
      </c>
      <c r="G35" s="227" t="s">
        <v>125</v>
      </c>
      <c r="H35" s="235">
        <v>1</v>
      </c>
      <c r="I35" s="236">
        <v>3466.67</v>
      </c>
      <c r="J35" s="237">
        <f t="shared" si="23"/>
        <v>0.06</v>
      </c>
      <c r="K35" s="238">
        <v>0.06</v>
      </c>
      <c r="L35" s="232">
        <v>1600</v>
      </c>
      <c r="M35" s="232">
        <v>1600</v>
      </c>
      <c r="N35" s="234">
        <f t="shared" si="24"/>
        <v>0</v>
      </c>
      <c r="O35" s="270">
        <v>0</v>
      </c>
      <c r="P35" s="270">
        <v>1600</v>
      </c>
      <c r="Q35" s="50">
        <f t="shared" si="25"/>
        <v>1600</v>
      </c>
      <c r="R35" s="48">
        <f t="shared" si="26"/>
        <v>1</v>
      </c>
      <c r="S35" s="271">
        <v>1600</v>
      </c>
    </row>
    <row r="36" spans="1:21" collapsed="1" x14ac:dyDescent="0.2">
      <c r="F36" s="226"/>
      <c r="G36" s="227" t="s">
        <v>123</v>
      </c>
      <c r="H36" s="235"/>
      <c r="I36" s="236"/>
      <c r="J36" s="237"/>
      <c r="K36" s="228">
        <f>SUM(J31:J35)</f>
        <v>2.5900000000000003</v>
      </c>
      <c r="L36" s="232">
        <f>SUM(L31:L35)</f>
        <v>63581</v>
      </c>
      <c r="M36" s="232">
        <f t="shared" ref="M36:Q36" si="27">SUM(M31:M35)</f>
        <v>63581</v>
      </c>
      <c r="N36" s="234">
        <f t="shared" si="27"/>
        <v>0</v>
      </c>
      <c r="O36" s="270">
        <f t="shared" si="27"/>
        <v>32816.450000000004</v>
      </c>
      <c r="P36" s="270">
        <f t="shared" si="27"/>
        <v>30764</v>
      </c>
      <c r="Q36" s="50">
        <f t="shared" si="27"/>
        <v>63580.450000000004</v>
      </c>
      <c r="R36" s="48">
        <f t="shared" si="26"/>
        <v>0.99999134961702407</v>
      </c>
      <c r="S36" s="271">
        <f>SUM(S31:S35)</f>
        <v>63580.450000000004</v>
      </c>
    </row>
    <row r="37" spans="1:21" x14ac:dyDescent="0.2">
      <c r="A37" s="59" t="str">
        <f t="shared" si="17"/>
        <v>WISE &amp; Healthy Aging</v>
      </c>
      <c r="B37" s="59" t="str">
        <f t="shared" si="18"/>
        <v>Oasis Westside</v>
      </c>
      <c r="D37" s="59" t="s">
        <v>41</v>
      </c>
      <c r="E37" s="29" t="s">
        <v>42</v>
      </c>
      <c r="F37" s="226"/>
      <c r="G37" s="227"/>
      <c r="H37" s="235"/>
      <c r="I37" s="236"/>
      <c r="J37" s="237"/>
      <c r="K37" s="238"/>
      <c r="L37" s="232">
        <v>0</v>
      </c>
      <c r="M37" s="232">
        <v>0</v>
      </c>
      <c r="N37" s="234">
        <f t="shared" si="21"/>
        <v>0</v>
      </c>
      <c r="O37" s="270">
        <v>0</v>
      </c>
      <c r="P37" s="270">
        <v>0</v>
      </c>
      <c r="Q37" s="50">
        <f t="shared" si="19"/>
        <v>0</v>
      </c>
      <c r="R37" s="48" t="str">
        <f t="shared" ref="R37" si="28">IFERROR(Q37/M37,"N/A")</f>
        <v>N/A</v>
      </c>
      <c r="S37" s="271">
        <v>0</v>
      </c>
    </row>
    <row r="38" spans="1:21" ht="13.5" thickBot="1" x14ac:dyDescent="0.25">
      <c r="F38" s="190"/>
      <c r="G38" s="179"/>
      <c r="H38" s="191" t="s">
        <v>45</v>
      </c>
      <c r="I38" s="192"/>
      <c r="J38" s="192"/>
      <c r="K38" s="284">
        <f>SUM(K36,K30)</f>
        <v>3.1400000000000006</v>
      </c>
      <c r="L38" s="193">
        <f>SUM(L30,L36)</f>
        <v>106001</v>
      </c>
      <c r="M38" s="193">
        <f t="shared" ref="M38:Q38" si="29">SUM(M30,M36)</f>
        <v>106001</v>
      </c>
      <c r="N38" s="193">
        <f t="shared" si="29"/>
        <v>0</v>
      </c>
      <c r="O38" s="193">
        <f t="shared" si="29"/>
        <v>47729.53</v>
      </c>
      <c r="P38" s="193">
        <f t="shared" si="29"/>
        <v>58270.89</v>
      </c>
      <c r="Q38" s="193">
        <f t="shared" si="29"/>
        <v>106000.42000000001</v>
      </c>
      <c r="R38" s="194">
        <f t="shared" si="20"/>
        <v>0.99999452835350622</v>
      </c>
      <c r="S38" s="195">
        <f>SUM(S30,S36)</f>
        <v>106000.53</v>
      </c>
    </row>
    <row r="39" spans="1:21" ht="13.5" thickBot="1" x14ac:dyDescent="0.25">
      <c r="F39" s="43"/>
      <c r="G39" s="43"/>
      <c r="H39" s="43"/>
      <c r="I39" s="43"/>
      <c r="J39" s="43"/>
      <c r="K39" s="43"/>
    </row>
    <row r="40" spans="1:21" x14ac:dyDescent="0.2">
      <c r="F40" s="19" t="s">
        <v>46</v>
      </c>
      <c r="G40" s="18"/>
      <c r="H40" s="18"/>
      <c r="I40" s="18"/>
      <c r="J40" s="18"/>
      <c r="K40" s="17"/>
      <c r="L40" s="16"/>
      <c r="M40" s="16"/>
      <c r="N40" s="16"/>
      <c r="O40" s="16"/>
      <c r="P40" s="16"/>
      <c r="Q40" s="16"/>
      <c r="R40" s="15"/>
      <c r="S40" s="14"/>
    </row>
    <row r="41" spans="1:21" s="82" customFormat="1" x14ac:dyDescent="0.2">
      <c r="A41" s="59"/>
      <c r="B41" s="59"/>
      <c r="C41" s="77"/>
      <c r="D41" s="77"/>
      <c r="E41" s="86"/>
      <c r="F41" s="78" t="s">
        <v>130</v>
      </c>
      <c r="G41" s="88"/>
      <c r="H41" s="88"/>
      <c r="I41" s="88"/>
      <c r="J41" s="88"/>
      <c r="K41" s="80"/>
      <c r="L41" s="22"/>
      <c r="M41" s="22"/>
      <c r="N41" s="22"/>
      <c r="O41" s="22"/>
      <c r="P41" s="22"/>
      <c r="Q41" s="22"/>
      <c r="R41" s="21"/>
      <c r="S41" s="20"/>
      <c r="T41" s="282"/>
      <c r="U41" s="282"/>
    </row>
    <row r="42" spans="1:21" ht="33.75" x14ac:dyDescent="0.2">
      <c r="A42" s="59" t="str">
        <f t="shared" ref="A42:A48" si="30">$G$7</f>
        <v>WISE &amp; Healthy Aging</v>
      </c>
      <c r="B42" s="59" t="str">
        <f t="shared" ref="B42:B48" si="31">$G$8</f>
        <v>Oasis Westside</v>
      </c>
      <c r="D42" s="59" t="s">
        <v>41</v>
      </c>
      <c r="E42" s="29" t="s">
        <v>46</v>
      </c>
      <c r="F42" s="67" t="s">
        <v>131</v>
      </c>
      <c r="G42" s="68"/>
      <c r="H42" s="69"/>
      <c r="I42" s="69"/>
      <c r="J42" s="69"/>
      <c r="K42" s="69"/>
      <c r="L42" s="51" t="s">
        <v>21</v>
      </c>
      <c r="M42" s="51" t="s">
        <v>22</v>
      </c>
      <c r="N42" s="51" t="s">
        <v>23</v>
      </c>
      <c r="O42" s="51" t="s">
        <v>24</v>
      </c>
      <c r="P42" s="51" t="s">
        <v>25</v>
      </c>
      <c r="Q42" s="51" t="s">
        <v>26</v>
      </c>
      <c r="R42" s="64" t="s">
        <v>27</v>
      </c>
      <c r="S42" s="65" t="s">
        <v>28</v>
      </c>
    </row>
    <row r="43" spans="1:21" x14ac:dyDescent="0.2">
      <c r="A43" s="59" t="str">
        <f t="shared" si="30"/>
        <v>WISE &amp; Healthy Aging</v>
      </c>
      <c r="B43" s="59" t="str">
        <f t="shared" si="31"/>
        <v>Oasis Westside</v>
      </c>
      <c r="D43" s="59" t="s">
        <v>41</v>
      </c>
      <c r="E43" s="29" t="s">
        <v>46</v>
      </c>
      <c r="F43" s="239" t="s">
        <v>132</v>
      </c>
      <c r="G43" s="240"/>
      <c r="H43" s="47"/>
      <c r="I43" s="47"/>
      <c r="J43" s="47"/>
      <c r="K43" s="47"/>
      <c r="L43" s="241">
        <v>7550</v>
      </c>
      <c r="M43" s="241">
        <v>7550</v>
      </c>
      <c r="N43" s="233">
        <f t="shared" ref="N43" si="32">L43-M43</f>
        <v>0</v>
      </c>
      <c r="O43" s="270">
        <f>1637.76+1982.48</f>
        <v>3620.24</v>
      </c>
      <c r="P43" s="270">
        <f>7550-3620</f>
        <v>3930</v>
      </c>
      <c r="Q43" s="49">
        <f>SUM(O43:P43)</f>
        <v>7550.24</v>
      </c>
      <c r="R43" s="48">
        <f>IFERROR(Q43/M43,"N/A")</f>
        <v>1.0000317880794702</v>
      </c>
      <c r="S43" s="272">
        <v>7550</v>
      </c>
    </row>
    <row r="44" spans="1:21" x14ac:dyDescent="0.2">
      <c r="A44" s="59" t="str">
        <f t="shared" si="30"/>
        <v>WISE &amp; Healthy Aging</v>
      </c>
      <c r="B44" s="59" t="str">
        <f t="shared" si="31"/>
        <v>Oasis Westside</v>
      </c>
      <c r="D44" s="59" t="s">
        <v>41</v>
      </c>
      <c r="E44" s="29" t="s">
        <v>46</v>
      </c>
      <c r="F44" s="242" t="s">
        <v>69</v>
      </c>
      <c r="G44" s="240"/>
      <c r="H44" s="46"/>
      <c r="I44" s="47"/>
      <c r="J44" s="47"/>
      <c r="K44" s="47"/>
      <c r="L44" s="241">
        <v>365</v>
      </c>
      <c r="M44" s="241">
        <v>365</v>
      </c>
      <c r="N44" s="234">
        <f t="shared" ref="N44:N48" si="33">L44-M44</f>
        <v>0</v>
      </c>
      <c r="O44" s="270">
        <f>484.25</f>
        <v>484.25</v>
      </c>
      <c r="P44" s="273">
        <v>0</v>
      </c>
      <c r="Q44" s="45">
        <f t="shared" ref="Q44:Q48" si="34">SUM(O44:P44)</f>
        <v>484.25</v>
      </c>
      <c r="R44" s="44">
        <f t="shared" ref="R44:R48" si="35">IFERROR(Q44/M44,"N/A")</f>
        <v>1.3267123287671232</v>
      </c>
      <c r="S44" s="274">
        <v>484</v>
      </c>
    </row>
    <row r="45" spans="1:21" x14ac:dyDescent="0.2">
      <c r="A45" s="59" t="str">
        <f t="shared" si="30"/>
        <v>WISE &amp; Healthy Aging</v>
      </c>
      <c r="B45" s="59" t="str">
        <f t="shared" si="31"/>
        <v>Oasis Westside</v>
      </c>
      <c r="D45" s="59" t="s">
        <v>41</v>
      </c>
      <c r="E45" s="29" t="s">
        <v>46</v>
      </c>
      <c r="F45" s="242" t="s">
        <v>70</v>
      </c>
      <c r="G45" s="240"/>
      <c r="H45" s="46"/>
      <c r="I45" s="47"/>
      <c r="J45" s="47"/>
      <c r="K45" s="47"/>
      <c r="L45" s="241">
        <v>300</v>
      </c>
      <c r="M45" s="241">
        <v>300</v>
      </c>
      <c r="N45" s="234">
        <f t="shared" si="33"/>
        <v>0</v>
      </c>
      <c r="O45" s="270">
        <f>115.74+120</f>
        <v>235.74</v>
      </c>
      <c r="P45" s="273">
        <v>0</v>
      </c>
      <c r="Q45" s="45">
        <f t="shared" si="34"/>
        <v>235.74</v>
      </c>
      <c r="R45" s="44">
        <f t="shared" si="35"/>
        <v>0.78580000000000005</v>
      </c>
      <c r="S45" s="274">
        <v>236</v>
      </c>
    </row>
    <row r="46" spans="1:21" x14ac:dyDescent="0.2">
      <c r="A46" s="59" t="str">
        <f t="shared" si="30"/>
        <v>WISE &amp; Healthy Aging</v>
      </c>
      <c r="B46" s="59" t="str">
        <f t="shared" si="31"/>
        <v>Oasis Westside</v>
      </c>
      <c r="D46" s="59" t="s">
        <v>41</v>
      </c>
      <c r="E46" s="29" t="s">
        <v>46</v>
      </c>
      <c r="F46" s="242" t="s">
        <v>71</v>
      </c>
      <c r="G46" s="240"/>
      <c r="H46" s="46"/>
      <c r="I46" s="47"/>
      <c r="J46" s="47"/>
      <c r="K46" s="47"/>
      <c r="L46" s="241">
        <v>2000</v>
      </c>
      <c r="M46" s="241">
        <v>2000</v>
      </c>
      <c r="N46" s="234">
        <f t="shared" si="33"/>
        <v>0</v>
      </c>
      <c r="O46" s="270">
        <f>2109.65</f>
        <v>2109.65</v>
      </c>
      <c r="P46" s="273">
        <f>0</f>
        <v>0</v>
      </c>
      <c r="Q46" s="45">
        <f t="shared" si="34"/>
        <v>2109.65</v>
      </c>
      <c r="R46" s="44">
        <f t="shared" si="35"/>
        <v>1.0548250000000001</v>
      </c>
      <c r="S46" s="274">
        <v>2110</v>
      </c>
    </row>
    <row r="47" spans="1:21" x14ac:dyDescent="0.2">
      <c r="A47" s="59" t="str">
        <f t="shared" si="30"/>
        <v>WISE &amp; Healthy Aging</v>
      </c>
      <c r="B47" s="59" t="str">
        <f t="shared" si="31"/>
        <v>Oasis Westside</v>
      </c>
      <c r="D47" s="59" t="s">
        <v>41</v>
      </c>
      <c r="E47" s="29" t="s">
        <v>46</v>
      </c>
      <c r="F47" s="242" t="s">
        <v>133</v>
      </c>
      <c r="G47" s="240"/>
      <c r="H47" s="46"/>
      <c r="I47" s="47"/>
      <c r="J47" s="47"/>
      <c r="K47" s="47"/>
      <c r="L47" s="241">
        <v>1125</v>
      </c>
      <c r="M47" s="241">
        <v>1125</v>
      </c>
      <c r="N47" s="234">
        <f t="shared" si="33"/>
        <v>0</v>
      </c>
      <c r="O47" s="270">
        <f>578.38</f>
        <v>578.38</v>
      </c>
      <c r="P47" s="273">
        <f>1123-578</f>
        <v>545</v>
      </c>
      <c r="Q47" s="45">
        <f t="shared" si="34"/>
        <v>1123.3800000000001</v>
      </c>
      <c r="R47" s="44">
        <f t="shared" si="35"/>
        <v>0.99856000000000011</v>
      </c>
      <c r="S47" s="274">
        <v>1123</v>
      </c>
    </row>
    <row r="48" spans="1:21" x14ac:dyDescent="0.2">
      <c r="A48" s="59" t="str">
        <f t="shared" si="30"/>
        <v>WISE &amp; Healthy Aging</v>
      </c>
      <c r="B48" s="59" t="str">
        <f t="shared" si="31"/>
        <v>Oasis Westside</v>
      </c>
      <c r="D48" s="59" t="s">
        <v>41</v>
      </c>
      <c r="E48" s="29" t="s">
        <v>46</v>
      </c>
      <c r="F48" s="242"/>
      <c r="G48" s="240"/>
      <c r="H48" s="46"/>
      <c r="I48" s="47"/>
      <c r="J48" s="47"/>
      <c r="K48" s="47"/>
      <c r="L48" s="241">
        <v>0</v>
      </c>
      <c r="M48" s="241">
        <v>0</v>
      </c>
      <c r="N48" s="234">
        <f t="shared" si="33"/>
        <v>0</v>
      </c>
      <c r="O48" s="270">
        <v>0</v>
      </c>
      <c r="P48" s="273">
        <v>0</v>
      </c>
      <c r="Q48" s="45">
        <f t="shared" si="34"/>
        <v>0</v>
      </c>
      <c r="R48" s="44" t="str">
        <f t="shared" si="35"/>
        <v>N/A</v>
      </c>
      <c r="S48" s="274">
        <v>0</v>
      </c>
    </row>
    <row r="49" spans="1:21" ht="13.5" thickBot="1" x14ac:dyDescent="0.25">
      <c r="F49" s="70"/>
      <c r="G49" s="66"/>
      <c r="H49" s="71" t="s">
        <v>47</v>
      </c>
      <c r="I49" s="72"/>
      <c r="J49" s="72"/>
      <c r="K49" s="73"/>
      <c r="L49" s="74">
        <f t="shared" ref="L49:Q49" si="36">SUM(L43:L48)</f>
        <v>11340</v>
      </c>
      <c r="M49" s="74">
        <f t="shared" si="36"/>
        <v>11340</v>
      </c>
      <c r="N49" s="74">
        <f t="shared" si="36"/>
        <v>0</v>
      </c>
      <c r="O49" s="74">
        <f t="shared" si="36"/>
        <v>7028.2599999999993</v>
      </c>
      <c r="P49" s="74">
        <f t="shared" si="36"/>
        <v>4475</v>
      </c>
      <c r="Q49" s="74">
        <f t="shared" si="36"/>
        <v>11503.259999999998</v>
      </c>
      <c r="R49" s="75">
        <f>IFERROR(Q49/M49,"N/A")</f>
        <v>1.0143968253968252</v>
      </c>
      <c r="S49" s="76">
        <f>SUM(S43:S48)</f>
        <v>11503</v>
      </c>
    </row>
    <row r="50" spans="1:21" ht="13.5" thickBot="1" x14ac:dyDescent="0.25">
      <c r="F50" s="43"/>
      <c r="G50" s="43"/>
      <c r="H50" s="43"/>
      <c r="I50" s="43"/>
      <c r="J50" s="43"/>
      <c r="K50" s="43"/>
    </row>
    <row r="51" spans="1:21" s="82" customFormat="1" x14ac:dyDescent="0.2">
      <c r="A51" s="59"/>
      <c r="B51" s="59"/>
      <c r="C51" s="77"/>
      <c r="D51" s="77"/>
      <c r="E51" s="86"/>
      <c r="F51" s="19" t="s">
        <v>48</v>
      </c>
      <c r="G51" s="18"/>
      <c r="H51" s="18"/>
      <c r="I51" s="18"/>
      <c r="J51" s="18"/>
      <c r="K51" s="17"/>
      <c r="L51" s="16"/>
      <c r="M51" s="16"/>
      <c r="N51" s="16"/>
      <c r="O51" s="16"/>
      <c r="P51" s="16"/>
      <c r="Q51" s="16"/>
      <c r="R51" s="15"/>
      <c r="S51" s="14"/>
      <c r="T51" s="282"/>
      <c r="U51" s="282"/>
    </row>
    <row r="52" spans="1:21" s="82" customFormat="1" x14ac:dyDescent="0.2">
      <c r="A52" s="59"/>
      <c r="B52" s="59"/>
      <c r="C52" s="77"/>
      <c r="D52" s="77"/>
      <c r="E52" s="86"/>
      <c r="F52" s="87" t="s">
        <v>134</v>
      </c>
      <c r="G52" s="88"/>
      <c r="H52" s="88"/>
      <c r="I52" s="88"/>
      <c r="J52" s="88"/>
      <c r="K52" s="80"/>
      <c r="L52" s="22"/>
      <c r="M52" s="22"/>
      <c r="N52" s="22"/>
      <c r="O52" s="22"/>
      <c r="P52" s="22"/>
      <c r="Q52" s="22"/>
      <c r="R52" s="21"/>
      <c r="S52" s="20"/>
      <c r="T52" s="282"/>
      <c r="U52" s="282"/>
    </row>
    <row r="53" spans="1:21" x14ac:dyDescent="0.2">
      <c r="F53" s="87" t="s">
        <v>135</v>
      </c>
      <c r="G53" s="88"/>
      <c r="H53" s="88"/>
      <c r="I53" s="88"/>
      <c r="J53" s="88"/>
      <c r="K53" s="80"/>
      <c r="L53" s="22"/>
      <c r="M53" s="22"/>
      <c r="N53" s="22"/>
      <c r="O53" s="22"/>
      <c r="P53" s="22"/>
      <c r="Q53" s="22"/>
      <c r="R53" s="21"/>
      <c r="S53" s="20"/>
    </row>
    <row r="54" spans="1:21" ht="33.75" x14ac:dyDescent="0.2">
      <c r="F54" s="67" t="s">
        <v>131</v>
      </c>
      <c r="G54" s="68"/>
      <c r="H54" s="69"/>
      <c r="I54" s="69"/>
      <c r="J54" s="69"/>
      <c r="K54" s="69"/>
      <c r="L54" s="51" t="s">
        <v>21</v>
      </c>
      <c r="M54" s="51" t="s">
        <v>22</v>
      </c>
      <c r="N54" s="51" t="s">
        <v>23</v>
      </c>
      <c r="O54" s="51" t="s">
        <v>24</v>
      </c>
      <c r="P54" s="51" t="s">
        <v>25</v>
      </c>
      <c r="Q54" s="51" t="s">
        <v>26</v>
      </c>
      <c r="R54" s="64" t="s">
        <v>27</v>
      </c>
      <c r="S54" s="65" t="s">
        <v>28</v>
      </c>
    </row>
    <row r="55" spans="1:21" x14ac:dyDescent="0.2">
      <c r="A55" s="59" t="str">
        <f t="shared" ref="A55:A60" si="37">$G$7</f>
        <v>WISE &amp; Healthy Aging</v>
      </c>
      <c r="B55" s="59" t="str">
        <f t="shared" ref="B55:B60" si="38">$G$8</f>
        <v>Oasis Westside</v>
      </c>
      <c r="D55" s="59" t="s">
        <v>41</v>
      </c>
      <c r="E55" s="29" t="s">
        <v>48</v>
      </c>
      <c r="F55" s="239" t="s">
        <v>136</v>
      </c>
      <c r="G55" s="240"/>
      <c r="H55" s="46"/>
      <c r="I55" s="47"/>
      <c r="J55" s="47"/>
      <c r="K55" s="47"/>
      <c r="L55" s="232">
        <v>1335</v>
      </c>
      <c r="M55" s="233">
        <v>1335</v>
      </c>
      <c r="N55" s="233">
        <f>L55-M55</f>
        <v>0</v>
      </c>
      <c r="O55" s="270">
        <f>1134.76</f>
        <v>1134.76</v>
      </c>
      <c r="P55" s="270">
        <f>1334-1135</f>
        <v>199</v>
      </c>
      <c r="Q55" s="49">
        <f>SUM(O55:P55)</f>
        <v>1333.76</v>
      </c>
      <c r="R55" s="48">
        <f>IFERROR(Q55/M55,"N/A")</f>
        <v>0.99907116104868909</v>
      </c>
      <c r="S55" s="272">
        <v>1334</v>
      </c>
    </row>
    <row r="56" spans="1:21" x14ac:dyDescent="0.2">
      <c r="A56" s="59" t="str">
        <f t="shared" si="37"/>
        <v>WISE &amp; Healthy Aging</v>
      </c>
      <c r="B56" s="59" t="str">
        <f t="shared" si="38"/>
        <v>Oasis Westside</v>
      </c>
      <c r="D56" s="59" t="s">
        <v>41</v>
      </c>
      <c r="E56" s="29" t="s">
        <v>48</v>
      </c>
      <c r="F56" s="242" t="s">
        <v>137</v>
      </c>
      <c r="G56" s="240"/>
      <c r="H56" s="46"/>
      <c r="I56" s="47"/>
      <c r="J56" s="47"/>
      <c r="K56" s="47"/>
      <c r="L56" s="232">
        <v>520</v>
      </c>
      <c r="M56" s="233">
        <v>520</v>
      </c>
      <c r="N56" s="234">
        <f t="shared" ref="N56:N60" si="39">L56-M56</f>
        <v>0</v>
      </c>
      <c r="O56" s="270">
        <f>226.28+23.52</f>
        <v>249.8</v>
      </c>
      <c r="P56" s="273">
        <f>519-250</f>
        <v>269</v>
      </c>
      <c r="Q56" s="45">
        <f t="shared" ref="Q56:Q60" si="40">SUM(O56:P56)</f>
        <v>518.79999999999995</v>
      </c>
      <c r="R56" s="44">
        <f t="shared" ref="R56:R60" si="41">IFERROR(Q56/M56,"N/A")</f>
        <v>0.99769230769230766</v>
      </c>
      <c r="S56" s="274">
        <v>519</v>
      </c>
    </row>
    <row r="57" spans="1:21" x14ac:dyDescent="0.2">
      <c r="F57" s="242" t="s">
        <v>138</v>
      </c>
      <c r="G57" s="240"/>
      <c r="H57" s="46"/>
      <c r="I57" s="47"/>
      <c r="J57" s="47"/>
      <c r="K57" s="47"/>
      <c r="L57" s="241">
        <v>5271</v>
      </c>
      <c r="M57" s="243">
        <v>5271</v>
      </c>
      <c r="N57" s="243">
        <f t="shared" si="39"/>
        <v>0</v>
      </c>
      <c r="O57" s="275">
        <v>3597</v>
      </c>
      <c r="P57" s="276">
        <f>5271-3597-290+100</f>
        <v>1484</v>
      </c>
      <c r="Q57" s="45">
        <f t="shared" ref="Q57" si="42">SUM(O57:P57)</f>
        <v>5081</v>
      </c>
      <c r="R57" s="44">
        <f t="shared" ref="R57" si="43">IFERROR(Q57/M57,"N/A")</f>
        <v>0.96395370897362931</v>
      </c>
      <c r="S57" s="274">
        <v>5081</v>
      </c>
    </row>
    <row r="58" spans="1:21" x14ac:dyDescent="0.2">
      <c r="A58" s="59" t="str">
        <f t="shared" si="37"/>
        <v>WISE &amp; Healthy Aging</v>
      </c>
      <c r="B58" s="59" t="str">
        <f t="shared" si="38"/>
        <v>Oasis Westside</v>
      </c>
      <c r="D58" s="59" t="s">
        <v>41</v>
      </c>
      <c r="E58" s="29" t="s">
        <v>48</v>
      </c>
      <c r="F58" s="242" t="s">
        <v>139</v>
      </c>
      <c r="G58" s="240"/>
      <c r="H58" s="46"/>
      <c r="I58" s="47"/>
      <c r="J58" s="47"/>
      <c r="K58" s="47"/>
      <c r="L58" s="241">
        <v>3500</v>
      </c>
      <c r="M58" s="243">
        <v>3500</v>
      </c>
      <c r="N58" s="243">
        <f t="shared" si="39"/>
        <v>0</v>
      </c>
      <c r="O58" s="275">
        <v>2125.62</v>
      </c>
      <c r="P58" s="275">
        <f>3500-2126</f>
        <v>1374</v>
      </c>
      <c r="Q58" s="45">
        <f t="shared" si="40"/>
        <v>3499.62</v>
      </c>
      <c r="R58" s="44">
        <f t="shared" si="41"/>
        <v>0.99989142857142854</v>
      </c>
      <c r="S58" s="274">
        <v>3500</v>
      </c>
    </row>
    <row r="59" spans="1:21" x14ac:dyDescent="0.2">
      <c r="A59" s="59" t="str">
        <f t="shared" si="37"/>
        <v>WISE &amp; Healthy Aging</v>
      </c>
      <c r="B59" s="59" t="str">
        <f t="shared" si="38"/>
        <v>Oasis Westside</v>
      </c>
      <c r="D59" s="59" t="s">
        <v>41</v>
      </c>
      <c r="E59" s="29" t="s">
        <v>48</v>
      </c>
      <c r="F59" s="242" t="s">
        <v>140</v>
      </c>
      <c r="G59" s="240"/>
      <c r="H59" s="46"/>
      <c r="I59" s="47"/>
      <c r="J59" s="47"/>
      <c r="K59" s="47"/>
      <c r="L59" s="241">
        <v>0</v>
      </c>
      <c r="M59" s="243">
        <v>0</v>
      </c>
      <c r="N59" s="243">
        <f t="shared" si="39"/>
        <v>0</v>
      </c>
      <c r="O59" s="275">
        <v>0</v>
      </c>
      <c r="P59" s="275">
        <v>0</v>
      </c>
      <c r="Q59" s="45">
        <f t="shared" si="40"/>
        <v>0</v>
      </c>
      <c r="R59" s="44" t="str">
        <f t="shared" si="41"/>
        <v>N/A</v>
      </c>
      <c r="S59" s="274">
        <v>0</v>
      </c>
    </row>
    <row r="60" spans="1:21" x14ac:dyDescent="0.2">
      <c r="A60" s="59" t="str">
        <f t="shared" si="37"/>
        <v>WISE &amp; Healthy Aging</v>
      </c>
      <c r="B60" s="59" t="str">
        <f t="shared" si="38"/>
        <v>Oasis Westside</v>
      </c>
      <c r="D60" s="59" t="s">
        <v>41</v>
      </c>
      <c r="E60" s="29" t="s">
        <v>48</v>
      </c>
      <c r="F60" s="242"/>
      <c r="G60" s="240"/>
      <c r="H60" s="46"/>
      <c r="I60" s="47"/>
      <c r="J60" s="47"/>
      <c r="K60" s="47"/>
      <c r="L60" s="241">
        <v>0</v>
      </c>
      <c r="M60" s="243">
        <v>0</v>
      </c>
      <c r="N60" s="243">
        <f t="shared" si="39"/>
        <v>0</v>
      </c>
      <c r="O60" s="275"/>
      <c r="P60" s="275">
        <v>0</v>
      </c>
      <c r="Q60" s="45">
        <f t="shared" si="40"/>
        <v>0</v>
      </c>
      <c r="R60" s="44" t="str">
        <f t="shared" si="41"/>
        <v>N/A</v>
      </c>
      <c r="S60" s="274">
        <v>0</v>
      </c>
    </row>
    <row r="61" spans="1:21" ht="13.5" thickBot="1" x14ac:dyDescent="0.25">
      <c r="F61" s="70"/>
      <c r="G61" s="66"/>
      <c r="H61" s="71" t="s">
        <v>49</v>
      </c>
      <c r="I61" s="72"/>
      <c r="J61" s="72"/>
      <c r="K61" s="73"/>
      <c r="L61" s="74">
        <f t="shared" ref="L61:Q61" si="44">SUM(L55:L60)</f>
        <v>10626</v>
      </c>
      <c r="M61" s="74">
        <f t="shared" si="44"/>
        <v>10626</v>
      </c>
      <c r="N61" s="74">
        <f t="shared" si="44"/>
        <v>0</v>
      </c>
      <c r="O61" s="74">
        <f t="shared" si="44"/>
        <v>7107.1799999999994</v>
      </c>
      <c r="P61" s="74">
        <f t="shared" si="44"/>
        <v>3326</v>
      </c>
      <c r="Q61" s="74">
        <f t="shared" si="44"/>
        <v>10433.18</v>
      </c>
      <c r="R61" s="75">
        <f>IFERROR(Q61/M61,"N/A")</f>
        <v>0.981853943158291</v>
      </c>
      <c r="S61" s="76">
        <f>SUM(S55:S60)</f>
        <v>10434</v>
      </c>
    </row>
    <row r="62" spans="1:21" ht="13.5" thickBot="1" x14ac:dyDescent="0.25">
      <c r="F62" s="43"/>
      <c r="G62" s="43"/>
      <c r="H62" s="43"/>
      <c r="I62" s="43"/>
      <c r="J62" s="43"/>
      <c r="K62" s="43"/>
    </row>
    <row r="63" spans="1:21" s="82" customFormat="1" x14ac:dyDescent="0.2">
      <c r="A63" s="59"/>
      <c r="B63" s="59"/>
      <c r="C63" s="77"/>
      <c r="D63" s="77"/>
      <c r="E63" s="86"/>
      <c r="F63" s="19" t="s">
        <v>50</v>
      </c>
      <c r="G63" s="18"/>
      <c r="H63" s="18"/>
      <c r="I63" s="18"/>
      <c r="J63" s="18"/>
      <c r="K63" s="17"/>
      <c r="L63" s="16"/>
      <c r="M63" s="16"/>
      <c r="N63" s="16"/>
      <c r="O63" s="16"/>
      <c r="P63" s="16"/>
      <c r="Q63" s="16"/>
      <c r="R63" s="15"/>
      <c r="S63" s="14"/>
      <c r="T63" s="282"/>
      <c r="U63" s="282"/>
    </row>
    <row r="64" spans="1:21" x14ac:dyDescent="0.2">
      <c r="F64" s="87" t="s">
        <v>51</v>
      </c>
      <c r="G64" s="88"/>
      <c r="H64" s="88"/>
      <c r="I64" s="88"/>
      <c r="J64" s="88"/>
      <c r="K64" s="80"/>
      <c r="L64" s="22"/>
      <c r="M64" s="22"/>
      <c r="N64" s="22"/>
      <c r="O64" s="22"/>
      <c r="P64" s="22"/>
      <c r="Q64" s="22"/>
      <c r="R64" s="21"/>
      <c r="S64" s="20"/>
    </row>
    <row r="65" spans="1:21" ht="33.75" x14ac:dyDescent="0.2">
      <c r="F65" s="67" t="s">
        <v>131</v>
      </c>
      <c r="G65" s="68"/>
      <c r="H65" s="69"/>
      <c r="I65" s="69"/>
      <c r="J65" s="69"/>
      <c r="K65" s="69"/>
      <c r="L65" s="51" t="s">
        <v>21</v>
      </c>
      <c r="M65" s="51" t="s">
        <v>22</v>
      </c>
      <c r="N65" s="51" t="s">
        <v>23</v>
      </c>
      <c r="O65" s="51" t="s">
        <v>24</v>
      </c>
      <c r="P65" s="51" t="s">
        <v>25</v>
      </c>
      <c r="Q65" s="51" t="s">
        <v>26</v>
      </c>
      <c r="R65" s="64" t="s">
        <v>27</v>
      </c>
      <c r="S65" s="65" t="s">
        <v>28</v>
      </c>
    </row>
    <row r="66" spans="1:21" x14ac:dyDescent="0.2">
      <c r="A66" s="59" t="str">
        <f t="shared" ref="A66:A69" si="45">$G$7</f>
        <v>WISE &amp; Healthy Aging</v>
      </c>
      <c r="B66" s="59" t="str">
        <f t="shared" ref="B66:B69" si="46">$G$8</f>
        <v>Oasis Westside</v>
      </c>
      <c r="D66" s="59" t="s">
        <v>41</v>
      </c>
      <c r="E66" s="29" t="s">
        <v>50</v>
      </c>
      <c r="F66" s="239" t="s">
        <v>141</v>
      </c>
      <c r="G66" s="240"/>
      <c r="H66" s="46"/>
      <c r="I66" s="47"/>
      <c r="J66" s="47"/>
      <c r="K66" s="47"/>
      <c r="L66" s="243">
        <v>0</v>
      </c>
      <c r="M66" s="233">
        <v>0</v>
      </c>
      <c r="N66" s="233">
        <f t="shared" ref="N66:N68" si="47">L66-M66</f>
        <v>0</v>
      </c>
      <c r="O66" s="270">
        <v>0</v>
      </c>
      <c r="P66" s="270">
        <v>0</v>
      </c>
      <c r="Q66" s="49">
        <f>SUM(O66:P66)</f>
        <v>0</v>
      </c>
      <c r="R66" s="48" t="str">
        <f>IFERROR(Q66/M66,"N/A")</f>
        <v>N/A</v>
      </c>
      <c r="S66" s="272">
        <v>0</v>
      </c>
    </row>
    <row r="67" spans="1:21" x14ac:dyDescent="0.2">
      <c r="A67" s="59" t="str">
        <f t="shared" si="45"/>
        <v>WISE &amp; Healthy Aging</v>
      </c>
      <c r="B67" s="59" t="str">
        <f t="shared" si="46"/>
        <v>Oasis Westside</v>
      </c>
      <c r="D67" s="59" t="s">
        <v>41</v>
      </c>
      <c r="E67" s="29" t="s">
        <v>50</v>
      </c>
      <c r="F67" s="242" t="s">
        <v>142</v>
      </c>
      <c r="G67" s="240"/>
      <c r="H67" s="46"/>
      <c r="I67" s="47"/>
      <c r="J67" s="47"/>
      <c r="K67" s="47"/>
      <c r="L67" s="243">
        <v>0</v>
      </c>
      <c r="M67" s="233">
        <v>0</v>
      </c>
      <c r="N67" s="234">
        <f t="shared" si="47"/>
        <v>0</v>
      </c>
      <c r="O67" s="270">
        <v>0</v>
      </c>
      <c r="P67" s="273">
        <v>0</v>
      </c>
      <c r="Q67" s="45">
        <f>SUM(O67:P67)</f>
        <v>0</v>
      </c>
      <c r="R67" s="44" t="str">
        <f>IFERROR(Q67/M67,"N/A")</f>
        <v>N/A</v>
      </c>
      <c r="S67" s="274">
        <v>0</v>
      </c>
    </row>
    <row r="68" spans="1:21" x14ac:dyDescent="0.2">
      <c r="A68" s="59" t="str">
        <f t="shared" si="45"/>
        <v>WISE &amp; Healthy Aging</v>
      </c>
      <c r="B68" s="59" t="str">
        <f t="shared" si="46"/>
        <v>Oasis Westside</v>
      </c>
      <c r="D68" s="59" t="s">
        <v>41</v>
      </c>
      <c r="E68" s="29" t="s">
        <v>50</v>
      </c>
      <c r="F68" s="242" t="s">
        <v>143</v>
      </c>
      <c r="G68" s="240"/>
      <c r="H68" s="46"/>
      <c r="I68" s="47"/>
      <c r="J68" s="47"/>
      <c r="K68" s="47"/>
      <c r="L68" s="243">
        <v>0</v>
      </c>
      <c r="M68" s="233">
        <v>0</v>
      </c>
      <c r="N68" s="233">
        <f t="shared" si="47"/>
        <v>0</v>
      </c>
      <c r="O68" s="270">
        <v>0</v>
      </c>
      <c r="P68" s="270">
        <v>0</v>
      </c>
      <c r="Q68" s="49">
        <f t="shared" ref="Q68:Q69" si="48">SUM(O68:P68)</f>
        <v>0</v>
      </c>
      <c r="R68" s="48" t="str">
        <f t="shared" ref="R68:R69" si="49">IFERROR(Q68/M68,"N/A")</f>
        <v>N/A</v>
      </c>
      <c r="S68" s="272">
        <v>0</v>
      </c>
    </row>
    <row r="69" spans="1:21" x14ac:dyDescent="0.2">
      <c r="A69" s="59" t="str">
        <f t="shared" si="45"/>
        <v>WISE &amp; Healthy Aging</v>
      </c>
      <c r="B69" s="59" t="str">
        <f t="shared" si="46"/>
        <v>Oasis Westside</v>
      </c>
      <c r="D69" s="59" t="s">
        <v>41</v>
      </c>
      <c r="E69" s="29" t="s">
        <v>50</v>
      </c>
      <c r="F69" s="242"/>
      <c r="G69" s="240"/>
      <c r="H69" s="46"/>
      <c r="I69" s="47"/>
      <c r="J69" s="47"/>
      <c r="K69" s="47"/>
      <c r="L69" s="243">
        <v>0</v>
      </c>
      <c r="M69" s="243">
        <v>0</v>
      </c>
      <c r="N69" s="243">
        <f t="shared" ref="N69" si="50">L69-M69</f>
        <v>0</v>
      </c>
      <c r="O69" s="275">
        <v>0</v>
      </c>
      <c r="P69" s="275">
        <v>0</v>
      </c>
      <c r="Q69" s="45">
        <f t="shared" si="48"/>
        <v>0</v>
      </c>
      <c r="R69" s="44" t="str">
        <f t="shared" si="49"/>
        <v>N/A</v>
      </c>
      <c r="S69" s="274">
        <v>0</v>
      </c>
    </row>
    <row r="70" spans="1:21" ht="13.5" thickBot="1" x14ac:dyDescent="0.25">
      <c r="E70" s="43"/>
      <c r="F70" s="70"/>
      <c r="G70" s="66"/>
      <c r="H70" s="71" t="s">
        <v>52</v>
      </c>
      <c r="I70" s="72"/>
      <c r="J70" s="72"/>
      <c r="K70" s="73"/>
      <c r="L70" s="74">
        <f t="shared" ref="L70:Q70" si="51">SUM(L66:L69)</f>
        <v>0</v>
      </c>
      <c r="M70" s="74">
        <f t="shared" si="51"/>
        <v>0</v>
      </c>
      <c r="N70" s="74">
        <f t="shared" si="51"/>
        <v>0</v>
      </c>
      <c r="O70" s="74">
        <f t="shared" si="51"/>
        <v>0</v>
      </c>
      <c r="P70" s="74">
        <f t="shared" si="51"/>
        <v>0</v>
      </c>
      <c r="Q70" s="74">
        <f t="shared" si="51"/>
        <v>0</v>
      </c>
      <c r="R70" s="75" t="str">
        <f>IFERROR(Q70/M70,"N/A")</f>
        <v>N/A</v>
      </c>
      <c r="S70" s="76">
        <f>SUM(S66:S67)</f>
        <v>0</v>
      </c>
    </row>
    <row r="71" spans="1:21" ht="13.5" thickBot="1" x14ac:dyDescent="0.25">
      <c r="F71" s="43"/>
      <c r="G71" s="43"/>
      <c r="H71" s="43"/>
      <c r="I71" s="43"/>
      <c r="J71" s="43"/>
      <c r="K71" s="43"/>
    </row>
    <row r="72" spans="1:21" s="82" customFormat="1" x14ac:dyDescent="0.2">
      <c r="A72" s="59"/>
      <c r="B72" s="59"/>
      <c r="C72" s="77"/>
      <c r="D72" s="77"/>
      <c r="E72" s="86"/>
      <c r="F72" s="19" t="s">
        <v>53</v>
      </c>
      <c r="G72" s="18"/>
      <c r="H72" s="18"/>
      <c r="I72" s="18"/>
      <c r="J72" s="18"/>
      <c r="K72" s="17"/>
      <c r="L72" s="16"/>
      <c r="M72" s="16"/>
      <c r="N72" s="16"/>
      <c r="O72" s="16"/>
      <c r="P72" s="16"/>
      <c r="Q72" s="16"/>
      <c r="R72" s="15"/>
      <c r="S72" s="14"/>
      <c r="T72" s="282"/>
      <c r="U72" s="282"/>
    </row>
    <row r="73" spans="1:21" x14ac:dyDescent="0.2">
      <c r="F73" s="87" t="s">
        <v>144</v>
      </c>
      <c r="G73" s="88"/>
      <c r="H73" s="88"/>
      <c r="I73" s="88"/>
      <c r="J73" s="88"/>
      <c r="K73" s="80"/>
      <c r="L73" s="22"/>
      <c r="M73" s="22"/>
      <c r="N73" s="22"/>
      <c r="O73" s="22"/>
      <c r="P73" s="22"/>
      <c r="Q73" s="22"/>
      <c r="R73" s="21"/>
      <c r="S73" s="20"/>
    </row>
    <row r="74" spans="1:21" ht="33.75" x14ac:dyDescent="0.2">
      <c r="F74" s="67" t="s">
        <v>131</v>
      </c>
      <c r="G74" s="68"/>
      <c r="H74" s="69"/>
      <c r="I74" s="69"/>
      <c r="J74" s="69"/>
      <c r="K74" s="69"/>
      <c r="L74" s="51" t="s">
        <v>21</v>
      </c>
      <c r="M74" s="51" t="s">
        <v>22</v>
      </c>
      <c r="N74" s="51" t="s">
        <v>23</v>
      </c>
      <c r="O74" s="51" t="s">
        <v>24</v>
      </c>
      <c r="P74" s="51" t="s">
        <v>25</v>
      </c>
      <c r="Q74" s="51" t="s">
        <v>26</v>
      </c>
      <c r="R74" s="64" t="s">
        <v>27</v>
      </c>
      <c r="S74" s="65" t="s">
        <v>28</v>
      </c>
    </row>
    <row r="75" spans="1:21" x14ac:dyDescent="0.2">
      <c r="A75" s="59" t="str">
        <f t="shared" ref="A75:A76" si="52">$G$7</f>
        <v>WISE &amp; Healthy Aging</v>
      </c>
      <c r="B75" s="59" t="str">
        <f t="shared" ref="B75:B76" si="53">$G$8</f>
        <v>Oasis Westside</v>
      </c>
      <c r="D75" s="59" t="s">
        <v>41</v>
      </c>
      <c r="E75" s="29" t="s">
        <v>53</v>
      </c>
      <c r="F75" s="239"/>
      <c r="G75" s="240"/>
      <c r="H75" s="46"/>
      <c r="I75" s="47"/>
      <c r="J75" s="47"/>
      <c r="K75" s="47"/>
      <c r="L75" s="243">
        <v>0</v>
      </c>
      <c r="M75" s="233">
        <v>0</v>
      </c>
      <c r="N75" s="233">
        <f t="shared" ref="N75:N76" si="54">L75-M75</f>
        <v>0</v>
      </c>
      <c r="O75" s="270">
        <v>0</v>
      </c>
      <c r="P75" s="270">
        <v>0</v>
      </c>
      <c r="Q75" s="49">
        <f>SUM(O75:P75)</f>
        <v>0</v>
      </c>
      <c r="R75" s="48" t="str">
        <f>IFERROR(Q75/M75,"N/A")</f>
        <v>N/A</v>
      </c>
      <c r="S75" s="272">
        <v>0</v>
      </c>
    </row>
    <row r="76" spans="1:21" x14ac:dyDescent="0.2">
      <c r="A76" s="59" t="str">
        <f t="shared" si="52"/>
        <v>WISE &amp; Healthy Aging</v>
      </c>
      <c r="B76" s="59" t="str">
        <f t="shared" si="53"/>
        <v>Oasis Westside</v>
      </c>
      <c r="D76" s="59" t="s">
        <v>41</v>
      </c>
      <c r="E76" s="29" t="s">
        <v>53</v>
      </c>
      <c r="F76" s="242"/>
      <c r="G76" s="240"/>
      <c r="H76" s="46"/>
      <c r="I76" s="47"/>
      <c r="J76" s="47"/>
      <c r="K76" s="47"/>
      <c r="L76" s="243">
        <v>0</v>
      </c>
      <c r="M76" s="233">
        <v>0</v>
      </c>
      <c r="N76" s="234">
        <f t="shared" si="54"/>
        <v>0</v>
      </c>
      <c r="O76" s="270">
        <v>0</v>
      </c>
      <c r="P76" s="273">
        <v>0</v>
      </c>
      <c r="Q76" s="45">
        <f t="shared" ref="Q76" si="55">SUM(O76:P76)</f>
        <v>0</v>
      </c>
      <c r="R76" s="44" t="str">
        <f t="shared" ref="R76" si="56">IFERROR(Q76/M76,"N/A")</f>
        <v>N/A</v>
      </c>
      <c r="S76" s="274">
        <v>0</v>
      </c>
    </row>
    <row r="77" spans="1:21" ht="13.5" thickBot="1" x14ac:dyDescent="0.25">
      <c r="F77" s="70"/>
      <c r="G77" s="66"/>
      <c r="H77" s="71" t="s">
        <v>54</v>
      </c>
      <c r="I77" s="72"/>
      <c r="J77" s="72"/>
      <c r="K77" s="73"/>
      <c r="L77" s="74">
        <f t="shared" ref="L77:Q77" si="57">SUM(L75:L76)</f>
        <v>0</v>
      </c>
      <c r="M77" s="74">
        <f t="shared" si="57"/>
        <v>0</v>
      </c>
      <c r="N77" s="74">
        <f t="shared" si="57"/>
        <v>0</v>
      </c>
      <c r="O77" s="74">
        <f t="shared" si="57"/>
        <v>0</v>
      </c>
      <c r="P77" s="74">
        <f t="shared" si="57"/>
        <v>0</v>
      </c>
      <c r="Q77" s="74">
        <f t="shared" si="57"/>
        <v>0</v>
      </c>
      <c r="R77" s="75" t="str">
        <f>IFERROR(Q77/M77,"N/A")</f>
        <v>N/A</v>
      </c>
      <c r="S77" s="76">
        <f>SUM(S75:S76)</f>
        <v>0</v>
      </c>
    </row>
    <row r="78" spans="1:21" ht="13.5" thickBot="1" x14ac:dyDescent="0.25">
      <c r="F78" s="43"/>
      <c r="G78" s="43"/>
      <c r="H78" s="43"/>
      <c r="I78" s="43"/>
      <c r="J78" s="43"/>
      <c r="K78" s="43"/>
    </row>
    <row r="79" spans="1:21" s="82" customFormat="1" x14ac:dyDescent="0.2">
      <c r="A79" s="59"/>
      <c r="B79" s="59"/>
      <c r="C79" s="77"/>
      <c r="D79" s="77"/>
      <c r="E79" s="86"/>
      <c r="F79" s="19" t="s">
        <v>55</v>
      </c>
      <c r="G79" s="18"/>
      <c r="H79" s="18"/>
      <c r="I79" s="18"/>
      <c r="J79" s="18"/>
      <c r="K79" s="17"/>
      <c r="L79" s="16"/>
      <c r="M79" s="16"/>
      <c r="N79" s="16"/>
      <c r="O79" s="16"/>
      <c r="P79" s="16"/>
      <c r="Q79" s="16"/>
      <c r="R79" s="15"/>
      <c r="S79" s="14"/>
      <c r="T79" s="282"/>
      <c r="U79" s="282"/>
    </row>
    <row r="80" spans="1:21" x14ac:dyDescent="0.2">
      <c r="F80" s="87" t="s">
        <v>145</v>
      </c>
      <c r="G80" s="88"/>
      <c r="H80" s="88"/>
      <c r="I80" s="88"/>
      <c r="J80" s="88"/>
      <c r="K80" s="80"/>
      <c r="L80" s="22"/>
      <c r="M80" s="22"/>
      <c r="N80" s="22"/>
      <c r="O80" s="22"/>
      <c r="P80" s="22"/>
      <c r="Q80" s="22"/>
      <c r="R80" s="21"/>
      <c r="S80" s="20"/>
    </row>
    <row r="81" spans="1:21" ht="33.75" x14ac:dyDescent="0.2">
      <c r="F81" s="67" t="s">
        <v>131</v>
      </c>
      <c r="G81" s="68"/>
      <c r="H81" s="69"/>
      <c r="I81" s="69"/>
      <c r="J81" s="69"/>
      <c r="K81" s="69"/>
      <c r="L81" s="51" t="s">
        <v>21</v>
      </c>
      <c r="M81" s="51" t="s">
        <v>22</v>
      </c>
      <c r="N81" s="51" t="s">
        <v>23</v>
      </c>
      <c r="O81" s="51" t="s">
        <v>24</v>
      </c>
      <c r="P81" s="51" t="s">
        <v>25</v>
      </c>
      <c r="Q81" s="51" t="s">
        <v>26</v>
      </c>
      <c r="R81" s="64" t="s">
        <v>27</v>
      </c>
      <c r="S81" s="65" t="s">
        <v>28</v>
      </c>
    </row>
    <row r="82" spans="1:21" x14ac:dyDescent="0.2">
      <c r="A82" s="59" t="str">
        <f t="shared" ref="A82:A83" si="58">$G$7</f>
        <v>WISE &amp; Healthy Aging</v>
      </c>
      <c r="B82" s="59" t="str">
        <f t="shared" ref="B82:B83" si="59">$G$8</f>
        <v>Oasis Westside</v>
      </c>
      <c r="D82" s="59" t="s">
        <v>41</v>
      </c>
      <c r="E82" s="29" t="s">
        <v>55</v>
      </c>
      <c r="F82" s="239" t="s">
        <v>146</v>
      </c>
      <c r="G82" s="240"/>
      <c r="H82" s="46"/>
      <c r="I82" s="47"/>
      <c r="J82" s="47"/>
      <c r="K82" s="47"/>
      <c r="L82" s="243">
        <v>48</v>
      </c>
      <c r="M82" s="233">
        <v>48</v>
      </c>
      <c r="N82" s="233">
        <f t="shared" ref="N82:N83" si="60">L82-M82</f>
        <v>0</v>
      </c>
      <c r="O82" s="270">
        <v>46.74</v>
      </c>
      <c r="P82" s="270">
        <v>0</v>
      </c>
      <c r="Q82" s="49">
        <f t="shared" ref="Q82:Q83" si="61">SUM(O82:P82)</f>
        <v>46.74</v>
      </c>
      <c r="R82" s="48">
        <f t="shared" ref="R82:R83" si="62">IFERROR(Q82/M82,"N/A")</f>
        <v>0.97375</v>
      </c>
      <c r="S82" s="277">
        <v>46.74</v>
      </c>
    </row>
    <row r="83" spans="1:21" x14ac:dyDescent="0.2">
      <c r="A83" s="59" t="str">
        <f t="shared" si="58"/>
        <v>WISE &amp; Healthy Aging</v>
      </c>
      <c r="B83" s="59" t="str">
        <f t="shared" si="59"/>
        <v>Oasis Westside</v>
      </c>
      <c r="D83" s="59" t="s">
        <v>41</v>
      </c>
      <c r="E83" s="29" t="s">
        <v>55</v>
      </c>
      <c r="F83" s="242"/>
      <c r="G83" s="240"/>
      <c r="H83" s="46"/>
      <c r="I83" s="47"/>
      <c r="J83" s="47"/>
      <c r="K83" s="47"/>
      <c r="L83" s="243">
        <v>0</v>
      </c>
      <c r="M83" s="233">
        <v>0</v>
      </c>
      <c r="N83" s="234">
        <f t="shared" si="60"/>
        <v>0</v>
      </c>
      <c r="O83" s="270">
        <v>0</v>
      </c>
      <c r="P83" s="273">
        <v>0</v>
      </c>
      <c r="Q83" s="45">
        <f t="shared" si="61"/>
        <v>0</v>
      </c>
      <c r="R83" s="44" t="str">
        <f t="shared" si="62"/>
        <v>N/A</v>
      </c>
      <c r="S83" s="274">
        <v>0</v>
      </c>
    </row>
    <row r="84" spans="1:21" ht="13.5" thickBot="1" x14ac:dyDescent="0.25">
      <c r="F84" s="70"/>
      <c r="G84" s="66"/>
      <c r="H84" s="71" t="s">
        <v>56</v>
      </c>
      <c r="I84" s="72"/>
      <c r="J84" s="72"/>
      <c r="K84" s="73"/>
      <c r="L84" s="74">
        <f t="shared" ref="L84:Q84" si="63">SUM(L82:L83)</f>
        <v>48</v>
      </c>
      <c r="M84" s="74">
        <f t="shared" si="63"/>
        <v>48</v>
      </c>
      <c r="N84" s="74">
        <f t="shared" si="63"/>
        <v>0</v>
      </c>
      <c r="O84" s="74">
        <f t="shared" si="63"/>
        <v>46.74</v>
      </c>
      <c r="P84" s="74">
        <f t="shared" si="63"/>
        <v>0</v>
      </c>
      <c r="Q84" s="74">
        <f t="shared" si="63"/>
        <v>46.74</v>
      </c>
      <c r="R84" s="75">
        <f>IFERROR(Q84/M84,"N/A")</f>
        <v>0.97375</v>
      </c>
      <c r="S84" s="76">
        <f>SUM(S82:S83)</f>
        <v>46.74</v>
      </c>
    </row>
    <row r="85" spans="1:21" ht="13.5" thickBot="1" x14ac:dyDescent="0.25">
      <c r="F85" s="43"/>
      <c r="G85" s="43"/>
      <c r="H85" s="43"/>
      <c r="I85" s="43"/>
      <c r="J85" s="43"/>
      <c r="K85" s="43"/>
    </row>
    <row r="86" spans="1:21" s="82" customFormat="1" x14ac:dyDescent="0.2">
      <c r="A86" s="59"/>
      <c r="B86" s="59"/>
      <c r="C86" s="77"/>
      <c r="D86" s="77"/>
      <c r="E86" s="86"/>
      <c r="F86" s="19" t="s">
        <v>57</v>
      </c>
      <c r="G86" s="18"/>
      <c r="H86" s="18"/>
      <c r="I86" s="18"/>
      <c r="J86" s="18"/>
      <c r="K86" s="17"/>
      <c r="L86" s="16"/>
      <c r="M86" s="16"/>
      <c r="N86" s="16"/>
      <c r="O86" s="16"/>
      <c r="P86" s="16"/>
      <c r="Q86" s="16"/>
      <c r="R86" s="15"/>
      <c r="S86" s="14"/>
      <c r="T86" s="282"/>
      <c r="U86" s="282"/>
    </row>
    <row r="87" spans="1:21" x14ac:dyDescent="0.2">
      <c r="F87" s="87" t="s">
        <v>147</v>
      </c>
      <c r="G87" s="80"/>
      <c r="H87" s="88"/>
      <c r="I87" s="88"/>
      <c r="J87" s="88"/>
      <c r="K87" s="80"/>
      <c r="L87" s="22"/>
      <c r="M87" s="22"/>
      <c r="N87" s="22"/>
      <c r="O87" s="22"/>
      <c r="P87" s="22"/>
      <c r="Q87" s="22"/>
      <c r="R87" s="21"/>
      <c r="S87" s="20"/>
    </row>
    <row r="88" spans="1:21" ht="33.75" x14ac:dyDescent="0.2">
      <c r="F88" s="67" t="s">
        <v>131</v>
      </c>
      <c r="G88" s="68"/>
      <c r="H88" s="69"/>
      <c r="I88" s="69"/>
      <c r="J88" s="69"/>
      <c r="K88" s="69"/>
      <c r="L88" s="51" t="s">
        <v>21</v>
      </c>
      <c r="M88" s="51" t="s">
        <v>22</v>
      </c>
      <c r="N88" s="51" t="s">
        <v>23</v>
      </c>
      <c r="O88" s="51" t="s">
        <v>24</v>
      </c>
      <c r="P88" s="51" t="s">
        <v>25</v>
      </c>
      <c r="Q88" s="51" t="s">
        <v>26</v>
      </c>
      <c r="R88" s="64" t="s">
        <v>27</v>
      </c>
      <c r="S88" s="65" t="s">
        <v>28</v>
      </c>
    </row>
    <row r="89" spans="1:21" x14ac:dyDescent="0.2">
      <c r="A89" s="59" t="str">
        <f t="shared" ref="A89:A90" si="64">$G$7</f>
        <v>WISE &amp; Healthy Aging</v>
      </c>
      <c r="B89" s="59" t="str">
        <f t="shared" ref="B89:B90" si="65">$G$8</f>
        <v>Oasis Westside</v>
      </c>
      <c r="D89" s="59" t="s">
        <v>41</v>
      </c>
      <c r="E89" s="29" t="s">
        <v>57</v>
      </c>
      <c r="F89" s="239" t="s">
        <v>148</v>
      </c>
      <c r="G89" s="240"/>
      <c r="H89" s="46"/>
      <c r="I89" s="47"/>
      <c r="J89" s="47"/>
      <c r="K89" s="47"/>
      <c r="L89" s="243">
        <v>1405</v>
      </c>
      <c r="M89" s="233">
        <v>1405</v>
      </c>
      <c r="N89" s="233">
        <f t="shared" ref="N89:N90" si="66">L89-M89</f>
        <v>0</v>
      </c>
      <c r="O89" s="270">
        <v>694.2</v>
      </c>
      <c r="P89" s="270">
        <f>1406-694</f>
        <v>712</v>
      </c>
      <c r="Q89" s="49">
        <f>SUM(O89:P89)</f>
        <v>1406.2</v>
      </c>
      <c r="R89" s="48">
        <f>IFERROR(Q89/M89,"N/A")</f>
        <v>1.0008540925266904</v>
      </c>
      <c r="S89" s="272">
        <v>1406</v>
      </c>
    </row>
    <row r="90" spans="1:21" x14ac:dyDescent="0.2">
      <c r="A90" s="59" t="str">
        <f t="shared" si="64"/>
        <v>WISE &amp; Healthy Aging</v>
      </c>
      <c r="B90" s="59" t="str">
        <f t="shared" si="65"/>
        <v>Oasis Westside</v>
      </c>
      <c r="D90" s="59" t="s">
        <v>41</v>
      </c>
      <c r="E90" s="29" t="s">
        <v>57</v>
      </c>
      <c r="F90" s="242"/>
      <c r="G90" s="240"/>
      <c r="H90" s="46"/>
      <c r="I90" s="47"/>
      <c r="J90" s="47"/>
      <c r="K90" s="47"/>
      <c r="L90" s="243">
        <v>0</v>
      </c>
      <c r="M90" s="233">
        <v>0</v>
      </c>
      <c r="N90" s="234">
        <f t="shared" si="66"/>
        <v>0</v>
      </c>
      <c r="O90" s="270">
        <v>0</v>
      </c>
      <c r="P90" s="273">
        <v>0</v>
      </c>
      <c r="Q90" s="45">
        <f t="shared" ref="Q90" si="67">SUM(O90:P90)</f>
        <v>0</v>
      </c>
      <c r="R90" s="44" t="str">
        <f t="shared" ref="R90" si="68">IFERROR(Q90/M90,"N/A")</f>
        <v>N/A</v>
      </c>
      <c r="S90" s="274">
        <v>0</v>
      </c>
    </row>
    <row r="91" spans="1:21" ht="13.5" thickBot="1" x14ac:dyDescent="0.25">
      <c r="F91" s="70"/>
      <c r="G91" s="66"/>
      <c r="H91" s="71" t="s">
        <v>58</v>
      </c>
      <c r="I91" s="72"/>
      <c r="J91" s="72"/>
      <c r="K91" s="73"/>
      <c r="L91" s="74">
        <f t="shared" ref="L91:Q91" si="69">SUM(L89:L90)</f>
        <v>1405</v>
      </c>
      <c r="M91" s="74">
        <f t="shared" si="69"/>
        <v>1405</v>
      </c>
      <c r="N91" s="74">
        <f t="shared" si="69"/>
        <v>0</v>
      </c>
      <c r="O91" s="74">
        <f t="shared" si="69"/>
        <v>694.2</v>
      </c>
      <c r="P91" s="74">
        <f t="shared" si="69"/>
        <v>712</v>
      </c>
      <c r="Q91" s="74">
        <f t="shared" si="69"/>
        <v>1406.2</v>
      </c>
      <c r="R91" s="75">
        <f>IFERROR(Q91/M91,"N/A")</f>
        <v>1.0008540925266904</v>
      </c>
      <c r="S91" s="76">
        <f>SUM(S89:S90)</f>
        <v>1406</v>
      </c>
    </row>
    <row r="92" spans="1:21" ht="13.5" thickBot="1" x14ac:dyDescent="0.25">
      <c r="F92" s="43"/>
      <c r="G92" s="43"/>
      <c r="H92" s="43"/>
      <c r="I92" s="43"/>
      <c r="J92" s="43"/>
      <c r="K92" s="43"/>
    </row>
    <row r="93" spans="1:21" s="82" customFormat="1" x14ac:dyDescent="0.2">
      <c r="A93" s="59"/>
      <c r="B93" s="59"/>
      <c r="C93" s="77"/>
      <c r="D93" s="77"/>
      <c r="E93" s="86"/>
      <c r="F93" s="23" t="s">
        <v>59</v>
      </c>
      <c r="G93" s="18"/>
      <c r="H93" s="18"/>
      <c r="I93" s="18"/>
      <c r="J93" s="18"/>
      <c r="K93" s="17"/>
      <c r="L93" s="16"/>
      <c r="M93" s="16"/>
      <c r="N93" s="16"/>
      <c r="O93" s="16"/>
      <c r="P93" s="16"/>
      <c r="Q93" s="16"/>
      <c r="R93" s="15"/>
      <c r="S93" s="14"/>
      <c r="T93" s="282"/>
      <c r="U93" s="282"/>
    </row>
    <row r="94" spans="1:21" x14ac:dyDescent="0.2">
      <c r="F94" s="78" t="s">
        <v>60</v>
      </c>
      <c r="G94" s="88"/>
      <c r="H94" s="88"/>
      <c r="I94" s="88"/>
      <c r="J94" s="88"/>
      <c r="K94" s="80"/>
      <c r="L94" s="22"/>
      <c r="M94" s="22"/>
      <c r="N94" s="22"/>
      <c r="O94" s="22"/>
      <c r="P94" s="22"/>
      <c r="Q94" s="22"/>
      <c r="R94" s="21"/>
      <c r="S94" s="20"/>
    </row>
    <row r="95" spans="1:21" ht="33.75" x14ac:dyDescent="0.2">
      <c r="F95" s="67" t="s">
        <v>131</v>
      </c>
      <c r="G95" s="68"/>
      <c r="H95" s="69"/>
      <c r="I95" s="69"/>
      <c r="J95" s="69"/>
      <c r="K95" s="69"/>
      <c r="L95" s="51" t="s">
        <v>21</v>
      </c>
      <c r="M95" s="51" t="s">
        <v>22</v>
      </c>
      <c r="N95" s="51" t="s">
        <v>23</v>
      </c>
      <c r="O95" s="51" t="s">
        <v>24</v>
      </c>
      <c r="P95" s="51" t="s">
        <v>25</v>
      </c>
      <c r="Q95" s="51" t="s">
        <v>26</v>
      </c>
      <c r="R95" s="64" t="s">
        <v>27</v>
      </c>
      <c r="S95" s="65" t="s">
        <v>28</v>
      </c>
    </row>
    <row r="96" spans="1:21" x14ac:dyDescent="0.2">
      <c r="A96" s="59" t="str">
        <f t="shared" ref="A96:A105" si="70">$G$7</f>
        <v>WISE &amp; Healthy Aging</v>
      </c>
      <c r="B96" s="59" t="str">
        <f t="shared" ref="B96:B105" si="71">$G$8</f>
        <v>Oasis Westside</v>
      </c>
      <c r="D96" s="59" t="s">
        <v>41</v>
      </c>
      <c r="E96" s="29" t="s">
        <v>59</v>
      </c>
      <c r="F96" s="239" t="s">
        <v>149</v>
      </c>
      <c r="G96" s="240"/>
      <c r="H96" s="46"/>
      <c r="I96" s="47"/>
      <c r="J96" s="47"/>
      <c r="K96" s="47"/>
      <c r="L96" s="243">
        <v>785</v>
      </c>
      <c r="M96" s="233">
        <v>785</v>
      </c>
      <c r="N96" s="233">
        <f t="shared" ref="N96:N105" si="72">L96-M96</f>
        <v>0</v>
      </c>
      <c r="O96" s="270">
        <f>130.85+572.19</f>
        <v>703.04000000000008</v>
      </c>
      <c r="P96" s="270">
        <f>770-703</f>
        <v>67</v>
      </c>
      <c r="Q96" s="49">
        <f>SUM(O96:P96)</f>
        <v>770.04000000000008</v>
      </c>
      <c r="R96" s="48">
        <f>IFERROR(Q96/M96,"N/A")</f>
        <v>0.98094267515923572</v>
      </c>
      <c r="S96" s="272">
        <v>770</v>
      </c>
    </row>
    <row r="97" spans="1:21" x14ac:dyDescent="0.2">
      <c r="A97" s="59" t="str">
        <f t="shared" si="70"/>
        <v>WISE &amp; Healthy Aging</v>
      </c>
      <c r="B97" s="59" t="str">
        <f t="shared" si="71"/>
        <v>Oasis Westside</v>
      </c>
      <c r="D97" s="59" t="s">
        <v>41</v>
      </c>
      <c r="E97" s="29" t="s">
        <v>59</v>
      </c>
      <c r="F97" s="242" t="s">
        <v>150</v>
      </c>
      <c r="G97" s="240"/>
      <c r="H97" s="46"/>
      <c r="I97" s="47"/>
      <c r="J97" s="47"/>
      <c r="K97" s="47"/>
      <c r="L97" s="243">
        <v>1450</v>
      </c>
      <c r="M97" s="233">
        <v>1450</v>
      </c>
      <c r="N97" s="234">
        <f t="shared" si="72"/>
        <v>0</v>
      </c>
      <c r="O97" s="270">
        <f>877.7</f>
        <v>877.7</v>
      </c>
      <c r="P97" s="273">
        <f>1598-878-131</f>
        <v>589</v>
      </c>
      <c r="Q97" s="45">
        <f>SUM(O97:P97)</f>
        <v>1466.7</v>
      </c>
      <c r="R97" s="44">
        <f>IFERROR(Q97/M97,"N/A")</f>
        <v>1.0115172413793103</v>
      </c>
      <c r="S97" s="278">
        <v>1466.7</v>
      </c>
    </row>
    <row r="98" spans="1:21" x14ac:dyDescent="0.2">
      <c r="A98" s="59" t="str">
        <f t="shared" si="70"/>
        <v>WISE &amp; Healthy Aging</v>
      </c>
      <c r="B98" s="59" t="str">
        <f t="shared" si="71"/>
        <v>Oasis Westside</v>
      </c>
      <c r="D98" s="59" t="s">
        <v>41</v>
      </c>
      <c r="E98" s="29" t="s">
        <v>59</v>
      </c>
      <c r="F98" s="242" t="s">
        <v>151</v>
      </c>
      <c r="G98" s="240"/>
      <c r="H98" s="46"/>
      <c r="I98" s="47"/>
      <c r="J98" s="47"/>
      <c r="K98" s="47"/>
      <c r="L98" s="243">
        <v>0</v>
      </c>
      <c r="M98" s="233">
        <v>0</v>
      </c>
      <c r="N98" s="233">
        <f t="shared" si="72"/>
        <v>0</v>
      </c>
      <c r="O98" s="270">
        <v>0</v>
      </c>
      <c r="P98" s="270">
        <v>0</v>
      </c>
      <c r="Q98" s="49">
        <f t="shared" ref="Q98:Q105" si="73">SUM(O98:P98)</f>
        <v>0</v>
      </c>
      <c r="R98" s="48" t="str">
        <f t="shared" ref="R98:R105" si="74">IFERROR(Q98/M98,"N/A")</f>
        <v>N/A</v>
      </c>
      <c r="S98" s="272">
        <v>0</v>
      </c>
    </row>
    <row r="99" spans="1:21" x14ac:dyDescent="0.2">
      <c r="A99" s="59" t="str">
        <f t="shared" si="70"/>
        <v>WISE &amp; Healthy Aging</v>
      </c>
      <c r="B99" s="59" t="str">
        <f t="shared" si="71"/>
        <v>Oasis Westside</v>
      </c>
      <c r="D99" s="59" t="s">
        <v>41</v>
      </c>
      <c r="E99" s="29" t="s">
        <v>59</v>
      </c>
      <c r="F99" s="242" t="s">
        <v>152</v>
      </c>
      <c r="G99" s="240"/>
      <c r="H99" s="46"/>
      <c r="I99" s="47"/>
      <c r="J99" s="47"/>
      <c r="K99" s="47"/>
      <c r="L99" s="243">
        <v>20</v>
      </c>
      <c r="M99" s="233">
        <v>20</v>
      </c>
      <c r="N99" s="233">
        <f t="shared" si="72"/>
        <v>0</v>
      </c>
      <c r="O99" s="270">
        <f>3.46</f>
        <v>3.46</v>
      </c>
      <c r="P99" s="270">
        <f>48-3</f>
        <v>45</v>
      </c>
      <c r="Q99" s="49">
        <f t="shared" si="73"/>
        <v>48.46</v>
      </c>
      <c r="R99" s="48">
        <f t="shared" si="74"/>
        <v>2.423</v>
      </c>
      <c r="S99" s="272">
        <v>48</v>
      </c>
    </row>
    <row r="100" spans="1:21" x14ac:dyDescent="0.2">
      <c r="A100" s="59" t="str">
        <f t="shared" si="70"/>
        <v>WISE &amp; Healthy Aging</v>
      </c>
      <c r="B100" s="59" t="str">
        <f t="shared" si="71"/>
        <v>Oasis Westside</v>
      </c>
      <c r="D100" s="59" t="s">
        <v>41</v>
      </c>
      <c r="E100" s="29" t="s">
        <v>59</v>
      </c>
      <c r="F100" s="242" t="s">
        <v>153</v>
      </c>
      <c r="G100" s="240"/>
      <c r="H100" s="46"/>
      <c r="I100" s="47"/>
      <c r="J100" s="47"/>
      <c r="K100" s="47"/>
      <c r="L100" s="243">
        <v>0</v>
      </c>
      <c r="M100" s="233">
        <v>0</v>
      </c>
      <c r="N100" s="233">
        <f t="shared" si="72"/>
        <v>0</v>
      </c>
      <c r="O100" s="270">
        <v>0</v>
      </c>
      <c r="P100" s="270">
        <v>0</v>
      </c>
      <c r="Q100" s="49">
        <f t="shared" si="73"/>
        <v>0</v>
      </c>
      <c r="R100" s="48" t="str">
        <f t="shared" si="74"/>
        <v>N/A</v>
      </c>
      <c r="S100" s="272">
        <v>0</v>
      </c>
    </row>
    <row r="101" spans="1:21" x14ac:dyDescent="0.2">
      <c r="A101" s="59" t="str">
        <f t="shared" si="70"/>
        <v>WISE &amp; Healthy Aging</v>
      </c>
      <c r="B101" s="59" t="str">
        <f t="shared" si="71"/>
        <v>Oasis Westside</v>
      </c>
      <c r="D101" s="59" t="s">
        <v>41</v>
      </c>
      <c r="E101" s="29" t="s">
        <v>59</v>
      </c>
      <c r="F101" s="242" t="s">
        <v>154</v>
      </c>
      <c r="G101" s="240"/>
      <c r="H101" s="46"/>
      <c r="I101" s="47"/>
      <c r="J101" s="47"/>
      <c r="K101" s="47"/>
      <c r="L101" s="243">
        <v>0</v>
      </c>
      <c r="M101" s="243">
        <v>0</v>
      </c>
      <c r="N101" s="243">
        <f t="shared" si="72"/>
        <v>0</v>
      </c>
      <c r="O101" s="275">
        <v>0</v>
      </c>
      <c r="P101" s="275">
        <v>0</v>
      </c>
      <c r="Q101" s="45">
        <f t="shared" si="73"/>
        <v>0</v>
      </c>
      <c r="R101" s="44" t="str">
        <f t="shared" si="74"/>
        <v>N/A</v>
      </c>
      <c r="S101" s="274">
        <v>0</v>
      </c>
    </row>
    <row r="102" spans="1:21" x14ac:dyDescent="0.2">
      <c r="A102" s="59" t="str">
        <f t="shared" si="70"/>
        <v>WISE &amp; Healthy Aging</v>
      </c>
      <c r="B102" s="59" t="str">
        <f t="shared" si="71"/>
        <v>Oasis Westside</v>
      </c>
      <c r="D102" s="59" t="s">
        <v>41</v>
      </c>
      <c r="E102" s="29" t="s">
        <v>59</v>
      </c>
      <c r="F102" s="242" t="s">
        <v>155</v>
      </c>
      <c r="G102" s="240"/>
      <c r="H102" s="46"/>
      <c r="I102" s="47"/>
      <c r="J102" s="47"/>
      <c r="K102" s="47"/>
      <c r="L102" s="243">
        <v>0</v>
      </c>
      <c r="M102" s="243">
        <v>0</v>
      </c>
      <c r="N102" s="243">
        <f t="shared" si="72"/>
        <v>0</v>
      </c>
      <c r="O102" s="275">
        <v>0</v>
      </c>
      <c r="P102" s="275">
        <v>0</v>
      </c>
      <c r="Q102" s="45">
        <f t="shared" si="73"/>
        <v>0</v>
      </c>
      <c r="R102" s="44" t="str">
        <f t="shared" si="74"/>
        <v>N/A</v>
      </c>
      <c r="S102" s="274">
        <v>0</v>
      </c>
    </row>
    <row r="103" spans="1:21" x14ac:dyDescent="0.2">
      <c r="A103" s="59" t="str">
        <f t="shared" si="70"/>
        <v>WISE &amp; Healthy Aging</v>
      </c>
      <c r="B103" s="59" t="str">
        <f t="shared" si="71"/>
        <v>Oasis Westside</v>
      </c>
      <c r="D103" s="59" t="s">
        <v>41</v>
      </c>
      <c r="E103" s="29" t="s">
        <v>59</v>
      </c>
      <c r="F103" s="242" t="s">
        <v>156</v>
      </c>
      <c r="G103" s="240"/>
      <c r="H103" s="46"/>
      <c r="I103" s="47"/>
      <c r="J103" s="47"/>
      <c r="K103" s="47"/>
      <c r="L103" s="243">
        <v>0</v>
      </c>
      <c r="M103" s="243">
        <v>0</v>
      </c>
      <c r="N103" s="243">
        <f t="shared" si="72"/>
        <v>0</v>
      </c>
      <c r="O103" s="275">
        <v>0</v>
      </c>
      <c r="P103" s="275">
        <v>0</v>
      </c>
      <c r="Q103" s="45">
        <f t="shared" si="73"/>
        <v>0</v>
      </c>
      <c r="R103" s="44" t="str">
        <f t="shared" si="74"/>
        <v>N/A</v>
      </c>
      <c r="S103" s="274">
        <v>0</v>
      </c>
    </row>
    <row r="104" spans="1:21" x14ac:dyDescent="0.2">
      <c r="A104" s="59" t="str">
        <f t="shared" si="70"/>
        <v>WISE &amp; Healthy Aging</v>
      </c>
      <c r="B104" s="59" t="str">
        <f t="shared" si="71"/>
        <v>Oasis Westside</v>
      </c>
      <c r="D104" s="59" t="s">
        <v>41</v>
      </c>
      <c r="E104" s="29" t="s">
        <v>59</v>
      </c>
      <c r="F104" s="242" t="s">
        <v>157</v>
      </c>
      <c r="G104" s="240"/>
      <c r="H104" s="46"/>
      <c r="I104" s="47"/>
      <c r="J104" s="47"/>
      <c r="K104" s="47"/>
      <c r="L104" s="243">
        <v>920</v>
      </c>
      <c r="M104" s="243">
        <v>920</v>
      </c>
      <c r="N104" s="243">
        <f t="shared" si="72"/>
        <v>0</v>
      </c>
      <c r="O104" s="275">
        <v>0</v>
      </c>
      <c r="P104" s="275">
        <v>920</v>
      </c>
      <c r="Q104" s="45">
        <f t="shared" si="73"/>
        <v>920</v>
      </c>
      <c r="R104" s="44">
        <f t="shared" si="74"/>
        <v>1</v>
      </c>
      <c r="S104" s="274">
        <v>920</v>
      </c>
    </row>
    <row r="105" spans="1:21" x14ac:dyDescent="0.2">
      <c r="A105" s="59" t="str">
        <f t="shared" si="70"/>
        <v>WISE &amp; Healthy Aging</v>
      </c>
      <c r="B105" s="59" t="str">
        <f t="shared" si="71"/>
        <v>Oasis Westside</v>
      </c>
      <c r="D105" s="59" t="s">
        <v>41</v>
      </c>
      <c r="E105" s="29" t="s">
        <v>59</v>
      </c>
      <c r="F105" s="242"/>
      <c r="G105" s="240"/>
      <c r="H105" s="46"/>
      <c r="I105" s="47"/>
      <c r="J105" s="47"/>
      <c r="K105" s="47"/>
      <c r="L105" s="243">
        <v>0</v>
      </c>
      <c r="M105" s="243">
        <v>0</v>
      </c>
      <c r="N105" s="243">
        <f t="shared" si="72"/>
        <v>0</v>
      </c>
      <c r="O105" s="275">
        <v>0</v>
      </c>
      <c r="P105" s="275">
        <v>0</v>
      </c>
      <c r="Q105" s="45">
        <f t="shared" si="73"/>
        <v>0</v>
      </c>
      <c r="R105" s="44" t="str">
        <f t="shared" si="74"/>
        <v>N/A</v>
      </c>
      <c r="S105" s="274">
        <v>0</v>
      </c>
    </row>
    <row r="106" spans="1:21" ht="13.5" thickBot="1" x14ac:dyDescent="0.25">
      <c r="F106" s="70"/>
      <c r="G106" s="66"/>
      <c r="H106" s="71" t="s">
        <v>61</v>
      </c>
      <c r="I106" s="72"/>
      <c r="J106" s="72"/>
      <c r="K106" s="73"/>
      <c r="L106" s="74">
        <f t="shared" ref="L106:Q106" si="75">SUM(L96:L105)</f>
        <v>3175</v>
      </c>
      <c r="M106" s="74">
        <f t="shared" si="75"/>
        <v>3175</v>
      </c>
      <c r="N106" s="74">
        <f t="shared" si="75"/>
        <v>0</v>
      </c>
      <c r="O106" s="74">
        <f t="shared" si="75"/>
        <v>1584.2000000000003</v>
      </c>
      <c r="P106" s="74">
        <f t="shared" si="75"/>
        <v>1621</v>
      </c>
      <c r="Q106" s="74">
        <f t="shared" si="75"/>
        <v>3205.2000000000003</v>
      </c>
      <c r="R106" s="75">
        <f>IFERROR(Q106/M106,"N/A")</f>
        <v>1.0095118110236221</v>
      </c>
      <c r="S106" s="76">
        <f>SUM(S96:S105)</f>
        <v>3204.7</v>
      </c>
    </row>
    <row r="107" spans="1:21" ht="13.5" thickBot="1" x14ac:dyDescent="0.25">
      <c r="F107" s="43"/>
      <c r="G107" s="43"/>
      <c r="H107" s="43"/>
      <c r="I107" s="43"/>
      <c r="J107" s="43"/>
      <c r="K107" s="43"/>
    </row>
    <row r="108" spans="1:21" s="82" customFormat="1" x14ac:dyDescent="0.2">
      <c r="A108" s="77"/>
      <c r="B108" s="77"/>
      <c r="C108" s="77"/>
      <c r="D108" s="77"/>
      <c r="E108" s="86"/>
      <c r="F108" s="19" t="s">
        <v>62</v>
      </c>
      <c r="G108" s="18"/>
      <c r="H108" s="18"/>
      <c r="I108" s="18"/>
      <c r="J108" s="18"/>
      <c r="K108" s="17"/>
      <c r="L108" s="16"/>
      <c r="M108" s="16"/>
      <c r="N108" s="16"/>
      <c r="O108" s="16"/>
      <c r="P108" s="16"/>
      <c r="Q108" s="16"/>
      <c r="R108" s="15"/>
      <c r="S108" s="14"/>
      <c r="T108" s="282"/>
      <c r="U108" s="282"/>
    </row>
    <row r="109" spans="1:21" x14ac:dyDescent="0.2">
      <c r="F109" s="87" t="s">
        <v>158</v>
      </c>
      <c r="G109" s="88"/>
      <c r="H109" s="88"/>
      <c r="I109" s="88"/>
      <c r="J109" s="88"/>
      <c r="K109" s="80"/>
      <c r="L109" s="22"/>
      <c r="M109" s="22"/>
      <c r="N109" s="22"/>
      <c r="O109" s="22"/>
      <c r="P109" s="22"/>
      <c r="Q109" s="22"/>
      <c r="R109" s="21"/>
      <c r="S109" s="20"/>
    </row>
    <row r="110" spans="1:21" ht="33.75" x14ac:dyDescent="0.2">
      <c r="F110" s="67" t="s">
        <v>131</v>
      </c>
      <c r="G110" s="68"/>
      <c r="H110" s="69"/>
      <c r="I110" s="69"/>
      <c r="J110" s="69"/>
      <c r="K110" s="69"/>
      <c r="L110" s="51" t="s">
        <v>21</v>
      </c>
      <c r="M110" s="51" t="s">
        <v>22</v>
      </c>
      <c r="N110" s="51" t="s">
        <v>23</v>
      </c>
      <c r="O110" s="51" t="s">
        <v>24</v>
      </c>
      <c r="P110" s="51" t="s">
        <v>25</v>
      </c>
      <c r="Q110" s="51" t="s">
        <v>26</v>
      </c>
      <c r="R110" s="64" t="s">
        <v>27</v>
      </c>
      <c r="S110" s="65" t="s">
        <v>28</v>
      </c>
    </row>
    <row r="111" spans="1:21" x14ac:dyDescent="0.2">
      <c r="A111" s="59" t="str">
        <f t="shared" ref="A111:A112" si="76">$G$7</f>
        <v>WISE &amp; Healthy Aging</v>
      </c>
      <c r="B111" s="59" t="str">
        <f t="shared" ref="B111:B112" si="77">$G$8</f>
        <v>Oasis Westside</v>
      </c>
      <c r="D111" s="59" t="s">
        <v>41</v>
      </c>
      <c r="E111" s="29" t="s">
        <v>62</v>
      </c>
      <c r="F111" s="239"/>
      <c r="G111" s="240"/>
      <c r="H111" s="46"/>
      <c r="I111" s="47"/>
      <c r="J111" s="47"/>
      <c r="K111" s="47"/>
      <c r="L111" s="233">
        <v>0</v>
      </c>
      <c r="M111" s="233">
        <v>0</v>
      </c>
      <c r="N111" s="233">
        <f t="shared" ref="N111:N112" si="78">L111-M111</f>
        <v>0</v>
      </c>
      <c r="O111" s="270">
        <v>0</v>
      </c>
      <c r="P111" s="270">
        <v>0</v>
      </c>
      <c r="Q111" s="49">
        <f>SUM(O111:P111)</f>
        <v>0</v>
      </c>
      <c r="R111" s="48" t="str">
        <f>IFERROR(Q111/M111,"N/A")</f>
        <v>N/A</v>
      </c>
      <c r="S111" s="272">
        <v>0</v>
      </c>
    </row>
    <row r="112" spans="1:21" x14ac:dyDescent="0.2">
      <c r="A112" s="59" t="str">
        <f t="shared" si="76"/>
        <v>WISE &amp; Healthy Aging</v>
      </c>
      <c r="B112" s="59" t="str">
        <f t="shared" si="77"/>
        <v>Oasis Westside</v>
      </c>
      <c r="D112" s="59" t="s">
        <v>41</v>
      </c>
      <c r="E112" s="29" t="s">
        <v>62</v>
      </c>
      <c r="F112" s="242"/>
      <c r="G112" s="240"/>
      <c r="H112" s="46"/>
      <c r="I112" s="47"/>
      <c r="J112" s="47"/>
      <c r="K112" s="47"/>
      <c r="L112" s="233">
        <v>0</v>
      </c>
      <c r="M112" s="233">
        <v>0</v>
      </c>
      <c r="N112" s="233">
        <f t="shared" si="78"/>
        <v>0</v>
      </c>
      <c r="O112" s="270">
        <v>0</v>
      </c>
      <c r="P112" s="270">
        <v>0</v>
      </c>
      <c r="Q112" s="49">
        <f t="shared" ref="Q112" si="79">SUM(O112:P112)</f>
        <v>0</v>
      </c>
      <c r="R112" s="48" t="str">
        <f t="shared" ref="R112" si="80">IFERROR(Q112/M112,"N/A")</f>
        <v>N/A</v>
      </c>
      <c r="S112" s="272">
        <v>0</v>
      </c>
    </row>
    <row r="113" spans="1:21" ht="13.5" thickBot="1" x14ac:dyDescent="0.25">
      <c r="F113" s="70"/>
      <c r="G113" s="66"/>
      <c r="H113" s="71" t="s">
        <v>63</v>
      </c>
      <c r="I113" s="72"/>
      <c r="J113" s="72"/>
      <c r="K113" s="73"/>
      <c r="L113" s="74">
        <f t="shared" ref="L113:Q113" si="81">SUM(L111:L112)</f>
        <v>0</v>
      </c>
      <c r="M113" s="74">
        <f t="shared" si="81"/>
        <v>0</v>
      </c>
      <c r="N113" s="74">
        <f t="shared" si="81"/>
        <v>0</v>
      </c>
      <c r="O113" s="74">
        <f t="shared" si="81"/>
        <v>0</v>
      </c>
      <c r="P113" s="74">
        <f t="shared" si="81"/>
        <v>0</v>
      </c>
      <c r="Q113" s="74">
        <f t="shared" si="81"/>
        <v>0</v>
      </c>
      <c r="R113" s="75" t="str">
        <f>IFERROR(Q113/M113,"N/A")</f>
        <v>N/A</v>
      </c>
      <c r="S113" s="76">
        <f>SUM(S111:S112)</f>
        <v>0</v>
      </c>
    </row>
    <row r="114" spans="1:21" ht="13.5" thickBot="1" x14ac:dyDescent="0.25">
      <c r="F114" s="43"/>
      <c r="G114" s="43"/>
      <c r="H114" s="43"/>
      <c r="I114" s="43"/>
      <c r="J114" s="43"/>
      <c r="K114" s="43"/>
    </row>
    <row r="115" spans="1:21" s="82" customFormat="1" x14ac:dyDescent="0.2">
      <c r="F115" s="19" t="s">
        <v>64</v>
      </c>
      <c r="G115" s="18"/>
      <c r="H115" s="18"/>
      <c r="I115" s="18"/>
      <c r="J115" s="18"/>
      <c r="K115" s="17"/>
      <c r="L115" s="16"/>
      <c r="M115" s="16"/>
      <c r="N115" s="16"/>
      <c r="O115" s="16"/>
      <c r="P115" s="16"/>
      <c r="Q115" s="16"/>
      <c r="R115" s="15"/>
      <c r="S115" s="14"/>
      <c r="T115" s="282"/>
      <c r="U115" s="282"/>
    </row>
    <row r="116" spans="1:21" x14ac:dyDescent="0.2">
      <c r="F116" s="87" t="s">
        <v>65</v>
      </c>
      <c r="G116" s="88"/>
      <c r="H116" s="88"/>
      <c r="I116" s="88"/>
      <c r="J116" s="88"/>
      <c r="K116" s="80"/>
      <c r="L116" s="22"/>
      <c r="M116" s="22"/>
      <c r="N116" s="22"/>
      <c r="O116" s="22"/>
      <c r="P116" s="22"/>
      <c r="Q116" s="22"/>
      <c r="R116" s="21"/>
      <c r="S116" s="20"/>
    </row>
    <row r="117" spans="1:21" ht="33.75" x14ac:dyDescent="0.2">
      <c r="F117" s="67" t="s">
        <v>131</v>
      </c>
      <c r="G117" s="68"/>
      <c r="H117" s="69"/>
      <c r="I117" s="69"/>
      <c r="J117" s="69"/>
      <c r="K117" s="69"/>
      <c r="L117" s="51" t="s">
        <v>21</v>
      </c>
      <c r="M117" s="51" t="s">
        <v>22</v>
      </c>
      <c r="N117" s="51" t="s">
        <v>23</v>
      </c>
      <c r="O117" s="51" t="s">
        <v>24</v>
      </c>
      <c r="P117" s="51" t="s">
        <v>25</v>
      </c>
      <c r="Q117" s="51" t="s">
        <v>26</v>
      </c>
      <c r="R117" s="64" t="s">
        <v>27</v>
      </c>
      <c r="S117" s="65" t="s">
        <v>28</v>
      </c>
    </row>
    <row r="118" spans="1:21" x14ac:dyDescent="0.2">
      <c r="A118" s="59" t="str">
        <f t="shared" ref="A118:A119" si="82">$G$7</f>
        <v>WISE &amp; Healthy Aging</v>
      </c>
      <c r="B118" s="59" t="str">
        <f t="shared" ref="B118:B119" si="83">$G$8</f>
        <v>Oasis Westside</v>
      </c>
      <c r="D118" s="59" t="s">
        <v>41</v>
      </c>
      <c r="E118" s="29" t="s">
        <v>64</v>
      </c>
      <c r="F118" s="239"/>
      <c r="G118" s="240"/>
      <c r="H118" s="46"/>
      <c r="I118" s="47"/>
      <c r="J118" s="47"/>
      <c r="K118" s="47"/>
      <c r="L118" s="233">
        <v>0</v>
      </c>
      <c r="M118" s="233">
        <v>0</v>
      </c>
      <c r="N118" s="233">
        <f t="shared" ref="N118:N119" si="84">L118-M118</f>
        <v>0</v>
      </c>
      <c r="O118" s="270">
        <v>0</v>
      </c>
      <c r="P118" s="270">
        <v>0</v>
      </c>
      <c r="Q118" s="49">
        <f>SUM(O118:P118)</f>
        <v>0</v>
      </c>
      <c r="R118" s="48" t="str">
        <f>IFERROR(Q118/M118,"N/A")</f>
        <v>N/A</v>
      </c>
      <c r="S118" s="272">
        <v>0</v>
      </c>
    </row>
    <row r="119" spans="1:21" x14ac:dyDescent="0.2">
      <c r="A119" s="59" t="str">
        <f t="shared" si="82"/>
        <v>WISE &amp; Healthy Aging</v>
      </c>
      <c r="B119" s="59" t="str">
        <f t="shared" si="83"/>
        <v>Oasis Westside</v>
      </c>
      <c r="D119" s="59" t="s">
        <v>41</v>
      </c>
      <c r="E119" s="29" t="s">
        <v>64</v>
      </c>
      <c r="F119" s="242"/>
      <c r="G119" s="240"/>
      <c r="H119" s="46"/>
      <c r="I119" s="47"/>
      <c r="J119" s="47"/>
      <c r="K119" s="47"/>
      <c r="L119" s="233">
        <v>0</v>
      </c>
      <c r="M119" s="233">
        <v>0</v>
      </c>
      <c r="N119" s="233">
        <f t="shared" si="84"/>
        <v>0</v>
      </c>
      <c r="O119" s="270">
        <v>0</v>
      </c>
      <c r="P119" s="270">
        <v>0</v>
      </c>
      <c r="Q119" s="49">
        <f t="shared" ref="Q119" si="85">SUM(O119:P119)</f>
        <v>0</v>
      </c>
      <c r="R119" s="48" t="str">
        <f t="shared" ref="R119" si="86">IFERROR(Q119/M119,"N/A")</f>
        <v>N/A</v>
      </c>
      <c r="S119" s="272">
        <v>0</v>
      </c>
    </row>
    <row r="120" spans="1:21" ht="13.5" thickBot="1" x14ac:dyDescent="0.25">
      <c r="F120" s="70"/>
      <c r="G120" s="66"/>
      <c r="H120" s="71" t="s">
        <v>66</v>
      </c>
      <c r="I120" s="72"/>
      <c r="J120" s="72"/>
      <c r="K120" s="73"/>
      <c r="L120" s="74">
        <f t="shared" ref="L120:Q120" si="87">SUM(L118:L119)</f>
        <v>0</v>
      </c>
      <c r="M120" s="74">
        <f t="shared" si="87"/>
        <v>0</v>
      </c>
      <c r="N120" s="74">
        <f t="shared" si="87"/>
        <v>0</v>
      </c>
      <c r="O120" s="74">
        <f t="shared" si="87"/>
        <v>0</v>
      </c>
      <c r="P120" s="74">
        <f t="shared" si="87"/>
        <v>0</v>
      </c>
      <c r="Q120" s="74">
        <f t="shared" si="87"/>
        <v>0</v>
      </c>
      <c r="R120" s="75" t="str">
        <f>IFERROR(Q120/M120,"N/A")</f>
        <v>N/A</v>
      </c>
      <c r="S120" s="76">
        <f>SUM(S118:S119)</f>
        <v>0</v>
      </c>
    </row>
    <row r="121" spans="1:21" ht="13.5" thickBot="1" x14ac:dyDescent="0.25">
      <c r="F121" s="43"/>
      <c r="G121" s="43"/>
      <c r="H121" s="43"/>
      <c r="I121" s="43"/>
      <c r="J121" s="43"/>
      <c r="K121" s="43"/>
    </row>
    <row r="122" spans="1:21" s="82" customFormat="1" x14ac:dyDescent="0.2">
      <c r="A122" s="77"/>
      <c r="B122" s="77"/>
      <c r="C122" s="77"/>
      <c r="D122" s="77"/>
      <c r="E122" s="86"/>
      <c r="F122" s="19" t="s">
        <v>67</v>
      </c>
      <c r="G122" s="18"/>
      <c r="H122" s="18"/>
      <c r="I122" s="18"/>
      <c r="J122" s="18"/>
      <c r="K122" s="17"/>
      <c r="L122" s="16"/>
      <c r="M122" s="16"/>
      <c r="N122" s="16"/>
      <c r="O122" s="16"/>
      <c r="P122" s="16"/>
      <c r="Q122" s="16"/>
      <c r="R122" s="15"/>
      <c r="S122" s="14"/>
      <c r="T122" s="282"/>
      <c r="U122" s="282"/>
    </row>
    <row r="123" spans="1:21" s="82" customFormat="1" ht="11.25" x14ac:dyDescent="0.2">
      <c r="A123" s="77"/>
      <c r="B123" s="77"/>
      <c r="C123" s="77"/>
      <c r="D123" s="77"/>
      <c r="E123" s="86"/>
      <c r="F123" s="87" t="s">
        <v>159</v>
      </c>
      <c r="G123" s="79"/>
      <c r="H123" s="79"/>
      <c r="I123" s="79"/>
      <c r="J123" s="79"/>
      <c r="K123" s="80"/>
      <c r="L123" s="80"/>
      <c r="M123" s="80"/>
      <c r="N123" s="80"/>
      <c r="O123" s="80"/>
      <c r="P123" s="80"/>
      <c r="Q123" s="80"/>
      <c r="R123" s="211"/>
      <c r="S123" s="81"/>
      <c r="T123" s="282"/>
      <c r="U123" s="282"/>
    </row>
    <row r="124" spans="1:21" s="82" customFormat="1" ht="11.25" x14ac:dyDescent="0.2">
      <c r="A124" s="77"/>
      <c r="B124" s="77"/>
      <c r="C124" s="77"/>
      <c r="D124" s="77"/>
      <c r="E124" s="86"/>
      <c r="F124" s="97" t="s">
        <v>160</v>
      </c>
      <c r="G124" s="79"/>
      <c r="H124" s="79"/>
      <c r="I124" s="79"/>
      <c r="J124" s="79"/>
      <c r="K124" s="80"/>
      <c r="L124" s="80"/>
      <c r="M124" s="80"/>
      <c r="N124" s="80"/>
      <c r="O124" s="80"/>
      <c r="P124" s="80"/>
      <c r="Q124" s="80"/>
      <c r="R124" s="211"/>
      <c r="S124" s="81"/>
      <c r="T124" s="282"/>
      <c r="U124" s="282"/>
    </row>
    <row r="125" spans="1:21" s="82" customFormat="1" ht="11.25" x14ac:dyDescent="0.2">
      <c r="A125" s="77"/>
      <c r="B125" s="77"/>
      <c r="C125" s="77"/>
      <c r="D125" s="77"/>
      <c r="E125" s="86"/>
      <c r="F125" s="97" t="s">
        <v>161</v>
      </c>
      <c r="G125" s="79"/>
      <c r="H125" s="79"/>
      <c r="I125" s="79"/>
      <c r="J125" s="79"/>
      <c r="K125" s="79"/>
      <c r="L125" s="83"/>
      <c r="M125" s="83"/>
      <c r="N125" s="83"/>
      <c r="O125" s="83"/>
      <c r="P125" s="83"/>
      <c r="Q125" s="83"/>
      <c r="R125" s="84"/>
      <c r="S125" s="85"/>
      <c r="T125" s="282"/>
      <c r="U125" s="282"/>
    </row>
    <row r="126" spans="1:21" ht="33.75" x14ac:dyDescent="0.2">
      <c r="F126" s="67" t="s">
        <v>131</v>
      </c>
      <c r="G126" s="68"/>
      <c r="H126" s="69"/>
      <c r="I126" s="69"/>
      <c r="J126" s="69"/>
      <c r="K126" s="69"/>
      <c r="L126" s="51" t="s">
        <v>21</v>
      </c>
      <c r="M126" s="51" t="s">
        <v>22</v>
      </c>
      <c r="N126" s="51" t="s">
        <v>23</v>
      </c>
      <c r="O126" s="51" t="s">
        <v>24</v>
      </c>
      <c r="P126" s="51" t="s">
        <v>25</v>
      </c>
      <c r="Q126" s="51" t="s">
        <v>26</v>
      </c>
      <c r="R126" s="64" t="s">
        <v>27</v>
      </c>
      <c r="S126" s="65" t="s">
        <v>28</v>
      </c>
    </row>
    <row r="127" spans="1:21" x14ac:dyDescent="0.2">
      <c r="A127" s="59" t="str">
        <f>$G$7</f>
        <v>WISE &amp; Healthy Aging</v>
      </c>
      <c r="B127" s="59" t="str">
        <f>$G$8</f>
        <v>Oasis Westside</v>
      </c>
      <c r="D127" s="59" t="s">
        <v>41</v>
      </c>
      <c r="E127" s="29" t="s">
        <v>67</v>
      </c>
      <c r="F127" s="240" t="s">
        <v>162</v>
      </c>
      <c r="G127" s="240"/>
      <c r="H127" s="46"/>
      <c r="I127" s="47"/>
      <c r="J127" s="153"/>
      <c r="K127" s="154"/>
      <c r="L127" s="241">
        <v>23721</v>
      </c>
      <c r="M127" s="241">
        <v>23721</v>
      </c>
      <c r="N127" s="243">
        <f>L127-M127</f>
        <v>0</v>
      </c>
      <c r="O127" s="275">
        <f>11862</f>
        <v>11862</v>
      </c>
      <c r="P127" s="275">
        <f>23721-11862</f>
        <v>11859</v>
      </c>
      <c r="Q127" s="49">
        <f>SUM(O127:P127)</f>
        <v>23721</v>
      </c>
      <c r="R127" s="48">
        <f>IFERROR(Q127/M127,"N/A")</f>
        <v>1</v>
      </c>
      <c r="S127" s="277">
        <v>23721</v>
      </c>
    </row>
    <row r="128" spans="1:21" ht="13.5" thickBot="1" x14ac:dyDescent="0.25">
      <c r="A128" s="59" t="str">
        <f t="shared" ref="A128" si="88">$G$7</f>
        <v>WISE &amp; Healthy Aging</v>
      </c>
      <c r="B128" s="59" t="str">
        <f t="shared" ref="B128" si="89">$G$8</f>
        <v>Oasis Westside</v>
      </c>
      <c r="D128" s="59" t="s">
        <v>41</v>
      </c>
      <c r="E128" s="29" t="s">
        <v>64</v>
      </c>
      <c r="F128" s="244"/>
      <c r="G128" s="245"/>
      <c r="H128" s="46"/>
      <c r="I128" s="47"/>
      <c r="J128" s="153" t="s">
        <v>163</v>
      </c>
      <c r="K128" s="154">
        <f>IFERROR(M129/M131,"N/A")</f>
        <v>0.15175030067299572</v>
      </c>
      <c r="L128" s="243">
        <v>0</v>
      </c>
      <c r="M128" s="243">
        <v>0</v>
      </c>
      <c r="N128" s="243">
        <f t="shared" ref="N128" si="90">L128-M128</f>
        <v>0</v>
      </c>
      <c r="O128" s="275">
        <v>0</v>
      </c>
      <c r="P128" s="275">
        <v>0</v>
      </c>
      <c r="Q128" s="61">
        <f>SUM(O128:P128)</f>
        <v>0</v>
      </c>
      <c r="R128" s="62" t="str">
        <f>IFERROR(Q128/M128,"N/A")</f>
        <v>N/A</v>
      </c>
      <c r="S128" s="279">
        <v>0</v>
      </c>
    </row>
    <row r="129" spans="1:21" ht="13.5" thickBot="1" x14ac:dyDescent="0.25">
      <c r="F129" s="204"/>
      <c r="G129" s="205"/>
      <c r="H129" s="206" t="s">
        <v>68</v>
      </c>
      <c r="I129" s="13"/>
      <c r="J129" s="13"/>
      <c r="K129" s="12"/>
      <c r="L129" s="11">
        <f>SUM(L127:L128)</f>
        <v>23721</v>
      </c>
      <c r="M129" s="11">
        <f>SUM(M127:M128)</f>
        <v>23721</v>
      </c>
      <c r="N129" s="11">
        <f>SUM(N127:N128)</f>
        <v>0</v>
      </c>
      <c r="O129" s="11">
        <f t="shared" ref="O129:Q129" si="91">SUM(O127:O128)</f>
        <v>11862</v>
      </c>
      <c r="P129" s="11">
        <f t="shared" si="91"/>
        <v>11859</v>
      </c>
      <c r="Q129" s="11">
        <f t="shared" si="91"/>
        <v>23721</v>
      </c>
      <c r="R129" s="10">
        <f>IFERROR(Q129/M129,"N/A")</f>
        <v>1</v>
      </c>
      <c r="S129" s="9">
        <f>SUM(S127:S128)</f>
        <v>23721</v>
      </c>
    </row>
    <row r="130" spans="1:21" ht="13.5" thickBot="1" x14ac:dyDescent="0.25">
      <c r="F130" s="43"/>
      <c r="G130" s="43"/>
      <c r="H130" s="43"/>
      <c r="I130" s="43"/>
      <c r="J130" s="43"/>
      <c r="K130" s="43"/>
    </row>
    <row r="131" spans="1:21" ht="15.75" thickBot="1" x14ac:dyDescent="0.3">
      <c r="F131" s="8"/>
      <c r="G131" s="6"/>
      <c r="H131" s="7" t="s">
        <v>40</v>
      </c>
      <c r="I131" s="6"/>
      <c r="J131" s="6"/>
      <c r="K131" s="5"/>
      <c r="L131" s="4">
        <f t="shared" ref="L131:Q131" si="92">SUM(L129,L120,L113,L106,L91,L84,L77,L70,L61,L49,L38)</f>
        <v>156316</v>
      </c>
      <c r="M131" s="4">
        <f t="shared" si="92"/>
        <v>156316</v>
      </c>
      <c r="N131" s="4">
        <f t="shared" si="92"/>
        <v>0</v>
      </c>
      <c r="O131" s="4">
        <f t="shared" si="92"/>
        <v>76052.11</v>
      </c>
      <c r="P131" s="4">
        <f t="shared" si="92"/>
        <v>80263.89</v>
      </c>
      <c r="Q131" s="4">
        <f t="shared" si="92"/>
        <v>156316</v>
      </c>
      <c r="R131" s="3">
        <f>IFERROR(Q131/M131,"N/A")</f>
        <v>1</v>
      </c>
      <c r="S131" s="2">
        <f>SUM(S129,S120,S113,S106,S91,S84,S77,S70,S61,S49,S38)</f>
        <v>156315.97</v>
      </c>
    </row>
    <row r="132" spans="1:21" ht="15" customHeight="1" thickBot="1" x14ac:dyDescent="0.25">
      <c r="F132" s="43"/>
      <c r="G132" s="43"/>
      <c r="H132" s="43"/>
      <c r="I132" s="43"/>
      <c r="J132" s="43"/>
      <c r="K132" s="43"/>
    </row>
    <row r="133" spans="1:21" ht="39" customHeight="1" thickBot="1" x14ac:dyDescent="0.3">
      <c r="F133" s="101" t="s">
        <v>96</v>
      </c>
      <c r="G133" s="94"/>
      <c r="H133" s="94"/>
      <c r="I133" s="94"/>
      <c r="J133" s="94"/>
      <c r="K133" s="94"/>
      <c r="L133" s="94"/>
      <c r="M133" s="94"/>
      <c r="N133" s="94"/>
      <c r="O133" s="94"/>
      <c r="P133" s="94"/>
      <c r="Q133" s="94"/>
      <c r="R133" s="94"/>
      <c r="S133" s="100"/>
    </row>
    <row r="134" spans="1:21" ht="33.75" x14ac:dyDescent="0.2">
      <c r="F134" s="107" t="s">
        <v>164</v>
      </c>
      <c r="G134" s="99" t="s">
        <v>131</v>
      </c>
      <c r="H134" s="98"/>
      <c r="I134" s="98"/>
      <c r="J134" s="98"/>
      <c r="K134" s="126"/>
      <c r="L134" s="98"/>
      <c r="M134" s="98"/>
      <c r="N134" s="108" t="s">
        <v>165</v>
      </c>
      <c r="O134" s="108" t="s">
        <v>166</v>
      </c>
      <c r="P134" s="108" t="s">
        <v>167</v>
      </c>
      <c r="Q134" s="108" t="s">
        <v>168</v>
      </c>
      <c r="R134" s="123" t="s">
        <v>169</v>
      </c>
      <c r="S134" s="109" t="s">
        <v>170</v>
      </c>
    </row>
    <row r="135" spans="1:21" x14ac:dyDescent="0.2">
      <c r="A135" s="59" t="str">
        <f t="shared" ref="A135:A140" si="93">$G$7</f>
        <v>WISE &amp; Healthy Aging</v>
      </c>
      <c r="B135" s="59" t="str">
        <f t="shared" ref="B135:B140" si="94">$G$8</f>
        <v>Oasis Westside</v>
      </c>
      <c r="D135" s="59" t="s">
        <v>96</v>
      </c>
      <c r="E135" s="29" t="str">
        <f t="shared" ref="E135:E140" si="95">F135</f>
        <v>1.  Government Grants</v>
      </c>
      <c r="F135" s="125" t="s">
        <v>171</v>
      </c>
      <c r="G135" s="280"/>
      <c r="H135" s="43"/>
      <c r="I135" s="43"/>
      <c r="J135" s="43"/>
      <c r="K135" s="127"/>
      <c r="L135" s="43"/>
      <c r="M135" s="43"/>
      <c r="N135" s="233">
        <v>0</v>
      </c>
      <c r="O135" s="273">
        <v>0</v>
      </c>
      <c r="P135" s="273">
        <v>0</v>
      </c>
      <c r="Q135" s="110">
        <f t="shared" ref="Q135:Q140" si="96">SUM(O135:P135)</f>
        <v>0</v>
      </c>
      <c r="R135" s="35"/>
      <c r="S135" s="207"/>
    </row>
    <row r="136" spans="1:21" x14ac:dyDescent="0.2">
      <c r="A136" s="59" t="str">
        <f t="shared" si="93"/>
        <v>WISE &amp; Healthy Aging</v>
      </c>
      <c r="B136" s="59" t="str">
        <f t="shared" si="94"/>
        <v>Oasis Westside</v>
      </c>
      <c r="D136" s="59" t="s">
        <v>96</v>
      </c>
      <c r="E136" s="29" t="str">
        <f t="shared" si="95"/>
        <v>2.  Private/Corporate Grants</v>
      </c>
      <c r="F136" s="125" t="s">
        <v>172</v>
      </c>
      <c r="G136" s="280"/>
      <c r="H136" s="43"/>
      <c r="I136" s="43"/>
      <c r="J136" s="43"/>
      <c r="K136" s="127"/>
      <c r="L136" s="43"/>
      <c r="M136" s="43"/>
      <c r="N136" s="233">
        <v>0</v>
      </c>
      <c r="O136" s="273">
        <v>0</v>
      </c>
      <c r="P136" s="273">
        <v>0</v>
      </c>
      <c r="Q136" s="110">
        <f t="shared" si="96"/>
        <v>0</v>
      </c>
      <c r="R136" s="35"/>
      <c r="S136" s="207"/>
    </row>
    <row r="137" spans="1:21" x14ac:dyDescent="0.2">
      <c r="A137" s="59" t="str">
        <f t="shared" si="93"/>
        <v>WISE &amp; Healthy Aging</v>
      </c>
      <c r="B137" s="59" t="str">
        <f t="shared" si="94"/>
        <v>Oasis Westside</v>
      </c>
      <c r="D137" s="59" t="s">
        <v>96</v>
      </c>
      <c r="E137" s="29" t="str">
        <f t="shared" si="95"/>
        <v>3.  Individual Donations</v>
      </c>
      <c r="F137" s="125" t="s">
        <v>173</v>
      </c>
      <c r="G137" s="280"/>
      <c r="H137" s="43"/>
      <c r="I137" s="43"/>
      <c r="J137" s="43"/>
      <c r="K137" s="127"/>
      <c r="L137" s="43"/>
      <c r="M137" s="43"/>
      <c r="N137" s="233">
        <v>0</v>
      </c>
      <c r="O137" s="273">
        <v>0</v>
      </c>
      <c r="P137" s="273">
        <v>0</v>
      </c>
      <c r="Q137" s="110">
        <f t="shared" si="96"/>
        <v>0</v>
      </c>
      <c r="S137" s="207"/>
    </row>
    <row r="138" spans="1:21" x14ac:dyDescent="0.2">
      <c r="A138" s="59" t="str">
        <f t="shared" si="93"/>
        <v>WISE &amp; Healthy Aging</v>
      </c>
      <c r="B138" s="59" t="str">
        <f t="shared" si="94"/>
        <v>Oasis Westside</v>
      </c>
      <c r="D138" s="59" t="s">
        <v>96</v>
      </c>
      <c r="E138" s="29" t="str">
        <f t="shared" si="95"/>
        <v>4.  Fundraising Events</v>
      </c>
      <c r="F138" s="125" t="s">
        <v>174</v>
      </c>
      <c r="G138" s="280"/>
      <c r="H138" s="43"/>
      <c r="I138" s="43"/>
      <c r="J138" s="43"/>
      <c r="K138" s="127"/>
      <c r="L138" s="43"/>
      <c r="M138" s="43"/>
      <c r="N138" s="233">
        <v>0</v>
      </c>
      <c r="O138" s="273">
        <v>0</v>
      </c>
      <c r="P138" s="273">
        <v>0</v>
      </c>
      <c r="Q138" s="110">
        <f t="shared" si="96"/>
        <v>0</v>
      </c>
      <c r="R138" s="105"/>
      <c r="S138" s="208"/>
    </row>
    <row r="139" spans="1:21" x14ac:dyDescent="0.2">
      <c r="A139" s="59" t="str">
        <f t="shared" si="93"/>
        <v>WISE &amp; Healthy Aging</v>
      </c>
      <c r="B139" s="59" t="str">
        <f t="shared" si="94"/>
        <v>Oasis Westside</v>
      </c>
      <c r="D139" s="59" t="s">
        <v>96</v>
      </c>
      <c r="E139" s="29" t="str">
        <f t="shared" si="95"/>
        <v>5.  Fees for Service</v>
      </c>
      <c r="F139" s="125" t="s">
        <v>175</v>
      </c>
      <c r="G139" s="280"/>
      <c r="H139" s="43"/>
      <c r="I139" s="43"/>
      <c r="J139" s="43"/>
      <c r="K139" s="127"/>
      <c r="L139" s="43"/>
      <c r="M139" s="43"/>
      <c r="N139" s="233">
        <v>0</v>
      </c>
      <c r="O139" s="273">
        <v>0</v>
      </c>
      <c r="P139" s="273">
        <v>0</v>
      </c>
      <c r="Q139" s="110">
        <f t="shared" si="96"/>
        <v>0</v>
      </c>
      <c r="R139" s="105"/>
      <c r="S139" s="208"/>
    </row>
    <row r="140" spans="1:21" x14ac:dyDescent="0.2">
      <c r="A140" s="59" t="str">
        <f t="shared" si="93"/>
        <v>WISE &amp; Healthy Aging</v>
      </c>
      <c r="B140" s="59" t="str">
        <f t="shared" si="94"/>
        <v>Oasis Westside</v>
      </c>
      <c r="D140" s="59" t="s">
        <v>96</v>
      </c>
      <c r="E140" s="29" t="str">
        <f t="shared" si="95"/>
        <v>6.  Other</v>
      </c>
      <c r="F140" s="125" t="s">
        <v>176</v>
      </c>
      <c r="G140" s="280"/>
      <c r="H140" s="43"/>
      <c r="I140" s="43"/>
      <c r="J140" s="43"/>
      <c r="K140" s="127"/>
      <c r="L140" s="43"/>
      <c r="M140" s="43"/>
      <c r="N140" s="243">
        <v>0</v>
      </c>
      <c r="O140" s="276">
        <v>0</v>
      </c>
      <c r="P140" s="276">
        <v>0</v>
      </c>
      <c r="Q140" s="111">
        <f t="shared" si="96"/>
        <v>0</v>
      </c>
      <c r="R140" s="105"/>
      <c r="S140" s="209"/>
    </row>
    <row r="141" spans="1:21" ht="15.75" thickBot="1" x14ac:dyDescent="0.3">
      <c r="F141" s="112" t="s">
        <v>177</v>
      </c>
      <c r="G141" s="66"/>
      <c r="H141" s="102" t="s">
        <v>178</v>
      </c>
      <c r="I141" s="103"/>
      <c r="J141" s="103"/>
      <c r="K141" s="103"/>
      <c r="L141" s="103"/>
      <c r="M141" s="103"/>
      <c r="N141" s="113">
        <f>SUM(N135:N140)</f>
        <v>0</v>
      </c>
      <c r="O141" s="113">
        <f>SUM(O135:O140)</f>
        <v>0</v>
      </c>
      <c r="P141" s="113">
        <f>SUM(P135:P140)</f>
        <v>0</v>
      </c>
      <c r="Q141" s="113">
        <f>SUM(Q135:Q140)</f>
        <v>0</v>
      </c>
      <c r="R141" s="106">
        <f>'CASH MATCH'!E18</f>
        <v>-57570.057975609787</v>
      </c>
      <c r="S141" s="114">
        <f>IFERROR(Q141-R141,"N/A")</f>
        <v>57570.057975609787</v>
      </c>
    </row>
    <row r="142" spans="1:21" s="93" customFormat="1" ht="13.5" thickBot="1" x14ac:dyDescent="0.25">
      <c r="A142" s="59"/>
      <c r="B142" s="59"/>
      <c r="C142" s="59"/>
      <c r="D142" s="59"/>
      <c r="E142" s="92"/>
      <c r="F142" s="115"/>
      <c r="G142" s="127"/>
      <c r="H142" s="127"/>
      <c r="I142" s="127"/>
      <c r="J142" s="127"/>
      <c r="K142" s="128"/>
      <c r="L142" s="29"/>
      <c r="M142" s="29"/>
      <c r="N142" s="29"/>
      <c r="O142" s="29"/>
      <c r="P142" s="29"/>
      <c r="Q142" s="29"/>
      <c r="R142" s="28"/>
      <c r="S142" s="27"/>
      <c r="T142" s="283"/>
      <c r="U142" s="283"/>
    </row>
    <row r="143" spans="1:21" s="93" customFormat="1" x14ac:dyDescent="0.2">
      <c r="A143" s="59"/>
      <c r="B143" s="59"/>
      <c r="C143" s="59"/>
      <c r="D143" s="59"/>
      <c r="E143" s="92"/>
      <c r="F143" s="42" t="s">
        <v>179</v>
      </c>
      <c r="G143" s="41"/>
      <c r="H143" s="41"/>
      <c r="I143" s="41"/>
      <c r="J143" s="41"/>
      <c r="K143" s="40"/>
      <c r="L143" s="40"/>
      <c r="M143" s="40"/>
      <c r="N143" s="40"/>
      <c r="O143" s="40"/>
      <c r="P143" s="40"/>
      <c r="Q143" s="40"/>
      <c r="R143" s="39"/>
      <c r="S143" s="38"/>
      <c r="T143" s="283"/>
      <c r="U143" s="283"/>
    </row>
    <row r="144" spans="1:21" ht="13.5" thickBot="1" x14ac:dyDescent="0.25">
      <c r="F144" s="34" t="s">
        <v>180</v>
      </c>
      <c r="G144" s="33"/>
      <c r="H144" s="33"/>
      <c r="I144" s="33"/>
      <c r="J144" s="33"/>
      <c r="K144" s="32"/>
      <c r="L144" s="32"/>
      <c r="M144" s="32"/>
      <c r="N144" s="32"/>
      <c r="O144" s="32"/>
      <c r="P144" s="32"/>
      <c r="Q144" s="32"/>
      <c r="R144" s="31"/>
      <c r="S144" s="30"/>
    </row>
  </sheetData>
  <sheetProtection algorithmName="SHA-512" hashValue="u8loDZqRcGroXDwiFZkhBVRJS5hFEPeh9s7vtprtgz1OxybgBPD60C/BZhhhnrO3H9Ye4u/rnj2HQtVvBDWqFA==" saltValue="ztqDGx3zNq4KWr8wzyyuJA==" spinCount="100000" sheet="1" objects="1" scenarios="1"/>
  <conditionalFormatting sqref="G135:G140">
    <cfRule type="containsText" dxfId="0" priority="51" operator="containsText" text="VARIANCE">
      <formula>NOT(ISERROR(SEARCH("VARIANCE",G135)))</formula>
    </cfRule>
  </conditionalFormatting>
  <dataValidations count="4">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27:K128"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R7:R21" xr:uid="{00000000-0002-0000-0600-000001000000}">
      <formula1>0.9</formula1>
      <formula2>1.1</formula2>
    </dataValidation>
    <dataValidation type="decimal" errorStyle="warning" allowBlank="1" showInputMessage="1" showErrorMessage="1" errorTitle="VARIANCE REPORT REQUIRED" error="Percentages below 90% or above 110% require an explanation in the VARIANCE REPORT/NOTES column." sqref="R28:R37" xr:uid="{00000000-0002-0000-0600-000002000000}">
      <formula1>0.9</formula1>
      <formula2>1.1</formula2>
    </dataValidation>
    <dataValidation type="list" allowBlank="1" showInputMessage="1" showErrorMessage="1" sqref="G11" xr:uid="{00000000-0002-0000-0600-000003000000}">
      <formula1>$F$20:$F$22</formula1>
    </dataValidation>
  </dataValidations>
  <pageMargins left="0.7" right="0.7" top="0.75" bottom="0.75" header="0.3" footer="0.3"/>
  <pageSetup orientation="portrait" r:id="rId1"/>
  <ignoredErrors>
    <ignoredError sqref="R7 R11:R1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M50"/>
  <sheetViews>
    <sheetView topLeftCell="F2" zoomScaleNormal="100" workbookViewId="0">
      <selection activeCell="J2" sqref="J2"/>
    </sheetView>
  </sheetViews>
  <sheetFormatPr defaultColWidth="8.85546875" defaultRowHeight="12.75" outlineLevelRow="1" outlineLevelCol="1" x14ac:dyDescent="0.2"/>
  <cols>
    <col min="1" max="1" width="25.85546875" style="140" hidden="1" customWidth="1" outlineLevel="1"/>
    <col min="2" max="2" width="33.7109375" style="140" hidden="1" customWidth="1" outlineLevel="1"/>
    <col min="3" max="3" width="23.28515625" style="140" hidden="1" customWidth="1" outlineLevel="1"/>
    <col min="4" max="4" width="35" style="140" hidden="1" customWidth="1" outlineLevel="1"/>
    <col min="5" max="5" width="44" style="141" hidden="1" customWidth="1" outlineLevel="1"/>
    <col min="6" max="6" width="59.85546875" style="135" customWidth="1" collapsed="1"/>
    <col min="7" max="10" width="17.28515625" style="134" customWidth="1"/>
    <col min="11" max="13" width="17.28515625" style="60" customWidth="1"/>
    <col min="14" max="16384" width="8.85546875" style="136"/>
  </cols>
  <sheetData>
    <row r="1" spans="1:13" hidden="1" outlineLevel="1" x14ac:dyDescent="0.2">
      <c r="A1" s="131" t="s">
        <v>0</v>
      </c>
      <c r="B1" s="131" t="s">
        <v>1</v>
      </c>
      <c r="C1" s="131" t="s">
        <v>2</v>
      </c>
      <c r="D1" s="131" t="s">
        <v>3</v>
      </c>
      <c r="E1" s="132" t="s">
        <v>4</v>
      </c>
      <c r="F1" s="133" t="s">
        <v>5</v>
      </c>
      <c r="G1" s="134" t="s">
        <v>181</v>
      </c>
      <c r="H1" s="134" t="s">
        <v>182</v>
      </c>
      <c r="I1" s="134" t="s">
        <v>183</v>
      </c>
    </row>
    <row r="2" spans="1:13" ht="18" collapsed="1" x14ac:dyDescent="0.2">
      <c r="A2" s="131"/>
      <c r="B2" s="131"/>
      <c r="C2" s="131"/>
      <c r="D2" s="131"/>
      <c r="E2" s="132"/>
      <c r="F2" s="137" t="s">
        <v>20</v>
      </c>
      <c r="G2" s="217"/>
      <c r="H2" s="139"/>
      <c r="I2" s="139"/>
      <c r="J2" s="139"/>
      <c r="K2" s="218"/>
    </row>
    <row r="3" spans="1:13" ht="18" x14ac:dyDescent="0.2">
      <c r="A3" s="131"/>
      <c r="B3" s="131"/>
      <c r="C3" s="131"/>
      <c r="D3" s="131"/>
      <c r="E3" s="132"/>
      <c r="F3" s="137" t="s">
        <v>184</v>
      </c>
      <c r="G3" s="219"/>
      <c r="H3" s="219"/>
      <c r="I3" s="220"/>
      <c r="J3" s="220"/>
      <c r="K3" s="219"/>
      <c r="L3" s="219"/>
      <c r="M3" s="219"/>
    </row>
    <row r="4" spans="1:13" x14ac:dyDescent="0.2">
      <c r="A4" s="131"/>
      <c r="B4" s="131"/>
      <c r="C4" s="131"/>
      <c r="D4" s="131"/>
      <c r="E4" s="132"/>
      <c r="F4" s="138"/>
      <c r="G4" s="217"/>
      <c r="H4" s="139"/>
      <c r="I4" s="139"/>
      <c r="J4" s="139"/>
      <c r="K4" s="218"/>
    </row>
    <row r="5" spans="1:13" s="149" customFormat="1" ht="30" x14ac:dyDescent="0.2">
      <c r="A5" s="146"/>
      <c r="B5" s="146"/>
      <c r="C5" s="146"/>
      <c r="D5" s="147"/>
      <c r="E5" s="148"/>
      <c r="F5" s="253" t="s">
        <v>185</v>
      </c>
      <c r="G5" s="221" t="s">
        <v>186</v>
      </c>
      <c r="H5" s="221" t="s">
        <v>187</v>
      </c>
      <c r="I5" s="221" t="s">
        <v>188</v>
      </c>
      <c r="J5" s="152"/>
      <c r="L5" s="152"/>
      <c r="M5" s="152"/>
    </row>
    <row r="6" spans="1:13" s="149" customFormat="1" ht="14.25" x14ac:dyDescent="0.2">
      <c r="A6" s="146" t="str">
        <f>'PROGRAM BUDGET &amp; FISCAL REPORT'!$G$7</f>
        <v>WISE &amp; Healthy Aging</v>
      </c>
      <c r="B6" s="146" t="str">
        <f>'PROGRAM BUDGET &amp; FISCAL REPORT'!$G$8</f>
        <v>Oasis Westside</v>
      </c>
      <c r="C6" s="146"/>
      <c r="D6" s="146" t="s">
        <v>189</v>
      </c>
      <c r="E6" s="149" t="s">
        <v>190</v>
      </c>
      <c r="F6" s="222" t="s">
        <v>191</v>
      </c>
      <c r="G6" s="246">
        <v>800</v>
      </c>
      <c r="H6" s="256">
        <v>784</v>
      </c>
      <c r="I6" s="256">
        <v>820</v>
      </c>
      <c r="J6" s="152"/>
      <c r="L6" s="152"/>
      <c r="M6" s="152"/>
    </row>
    <row r="7" spans="1:13" s="149" customFormat="1" ht="14.25" x14ac:dyDescent="0.2">
      <c r="A7" s="146" t="str">
        <f>'PROGRAM BUDGET &amp; FISCAL REPORT'!$G$7</f>
        <v>WISE &amp; Healthy Aging</v>
      </c>
      <c r="B7" s="146" t="str">
        <f>'PROGRAM BUDGET &amp; FISCAL REPORT'!$G$8</f>
        <v>Oasis Westside</v>
      </c>
      <c r="C7" s="146"/>
      <c r="D7" s="146" t="s">
        <v>189</v>
      </c>
      <c r="E7" s="149" t="s">
        <v>190</v>
      </c>
      <c r="F7" s="222" t="s">
        <v>192</v>
      </c>
      <c r="G7" s="246">
        <v>520</v>
      </c>
      <c r="H7" s="256">
        <v>494</v>
      </c>
      <c r="I7" s="256">
        <v>518</v>
      </c>
      <c r="J7" s="152"/>
      <c r="L7" s="152"/>
      <c r="M7" s="152"/>
    </row>
    <row r="8" spans="1:13" s="149" customFormat="1" ht="14.25" x14ac:dyDescent="0.2">
      <c r="A8" s="146" t="str">
        <f>'PROGRAM BUDGET &amp; FISCAL REPORT'!$G$7</f>
        <v>WISE &amp; Healthy Aging</v>
      </c>
      <c r="B8" s="146" t="str">
        <f>'PROGRAM BUDGET &amp; FISCAL REPORT'!$G$8</f>
        <v>Oasis Westside</v>
      </c>
      <c r="C8" s="146"/>
      <c r="D8" s="146" t="s">
        <v>189</v>
      </c>
      <c r="E8" s="149" t="s">
        <v>190</v>
      </c>
      <c r="F8" s="222" t="s">
        <v>193</v>
      </c>
      <c r="G8" s="251">
        <v>182</v>
      </c>
      <c r="H8" s="257">
        <v>148</v>
      </c>
      <c r="I8" s="257">
        <v>173</v>
      </c>
      <c r="J8" s="152"/>
      <c r="L8" s="152"/>
      <c r="M8" s="152"/>
    </row>
    <row r="9" spans="1:13" s="149" customFormat="1" ht="14.25" x14ac:dyDescent="0.2">
      <c r="A9" s="146" t="str">
        <f>'PROGRAM BUDGET &amp; FISCAL REPORT'!$G$7</f>
        <v>WISE &amp; Healthy Aging</v>
      </c>
      <c r="B9" s="146" t="str">
        <f>'PROGRAM BUDGET &amp; FISCAL REPORT'!$G$8</f>
        <v>Oasis Westside</v>
      </c>
      <c r="C9" s="146"/>
      <c r="D9" s="146" t="s">
        <v>189</v>
      </c>
      <c r="E9" s="149" t="s">
        <v>190</v>
      </c>
      <c r="F9" s="222" t="s">
        <v>194</v>
      </c>
      <c r="G9" s="251">
        <v>0</v>
      </c>
      <c r="H9" s="257">
        <v>0</v>
      </c>
      <c r="I9" s="257">
        <v>0</v>
      </c>
      <c r="J9" s="152"/>
      <c r="L9" s="152"/>
      <c r="M9" s="152"/>
    </row>
    <row r="10" spans="1:13" s="149" customFormat="1" ht="14.25" x14ac:dyDescent="0.2">
      <c r="A10" s="146" t="str">
        <f>'PROGRAM BUDGET &amp; FISCAL REPORT'!$G$7</f>
        <v>WISE &amp; Healthy Aging</v>
      </c>
      <c r="B10" s="146" t="str">
        <f>'PROGRAM BUDGET &amp; FISCAL REPORT'!$G$8</f>
        <v>Oasis Westside</v>
      </c>
      <c r="C10" s="146"/>
      <c r="D10" s="146" t="s">
        <v>189</v>
      </c>
      <c r="E10" s="149" t="s">
        <v>190</v>
      </c>
      <c r="F10" s="222" t="s">
        <v>195</v>
      </c>
      <c r="G10" s="251">
        <v>104</v>
      </c>
      <c r="H10" s="257">
        <v>49</v>
      </c>
      <c r="I10" s="257">
        <v>49</v>
      </c>
      <c r="J10" s="152"/>
      <c r="L10" s="152"/>
      <c r="M10" s="152"/>
    </row>
    <row r="11" spans="1:13" s="149" customFormat="1" ht="14.25" x14ac:dyDescent="0.2">
      <c r="A11" s="146" t="str">
        <f>'PROGRAM BUDGET &amp; FISCAL REPORT'!$G$7</f>
        <v>WISE &amp; Healthy Aging</v>
      </c>
      <c r="B11" s="146" t="str">
        <f>'PROGRAM BUDGET &amp; FISCAL REPORT'!$G$8</f>
        <v>Oasis Westside</v>
      </c>
      <c r="C11" s="146"/>
      <c r="D11" s="146" t="s">
        <v>189</v>
      </c>
      <c r="E11" s="149" t="s">
        <v>190</v>
      </c>
      <c r="F11" s="222" t="s">
        <v>196</v>
      </c>
      <c r="G11" s="251" t="s">
        <v>197</v>
      </c>
      <c r="H11" s="257">
        <v>25</v>
      </c>
      <c r="I11" s="257">
        <v>26</v>
      </c>
      <c r="J11" s="152"/>
      <c r="L11" s="152"/>
      <c r="M11" s="152"/>
    </row>
    <row r="12" spans="1:13" s="149" customFormat="1" ht="14.25" x14ac:dyDescent="0.2">
      <c r="A12" s="146" t="str">
        <f>'PROGRAM BUDGET &amp; FISCAL REPORT'!$G$7</f>
        <v>WISE &amp; Healthy Aging</v>
      </c>
      <c r="B12" s="146" t="str">
        <f>'PROGRAM BUDGET &amp; FISCAL REPORT'!$G$8</f>
        <v>Oasis Westside</v>
      </c>
      <c r="C12" s="146"/>
      <c r="D12" s="146" t="s">
        <v>189</v>
      </c>
      <c r="E12" s="149" t="s">
        <v>190</v>
      </c>
      <c r="F12" s="222" t="s">
        <v>198</v>
      </c>
      <c r="G12" s="251">
        <v>94</v>
      </c>
      <c r="H12" s="257">
        <v>87</v>
      </c>
      <c r="I12" s="257">
        <v>95</v>
      </c>
      <c r="J12" s="152"/>
      <c r="L12" s="152"/>
      <c r="M12" s="152"/>
    </row>
    <row r="13" spans="1:13" s="149" customFormat="1" ht="14.25" x14ac:dyDescent="0.2">
      <c r="A13" s="146" t="str">
        <f>'PROGRAM BUDGET &amp; FISCAL REPORT'!$G$7</f>
        <v>WISE &amp; Healthy Aging</v>
      </c>
      <c r="B13" s="146" t="str">
        <f>'PROGRAM BUDGET &amp; FISCAL REPORT'!$G$8</f>
        <v>Oasis Westside</v>
      </c>
      <c r="C13" s="146"/>
      <c r="D13" s="146" t="s">
        <v>189</v>
      </c>
      <c r="E13" s="149" t="s">
        <v>190</v>
      </c>
      <c r="F13" s="222" t="s">
        <v>199</v>
      </c>
      <c r="G13" s="251">
        <v>156</v>
      </c>
      <c r="H13" s="257">
        <v>99</v>
      </c>
      <c r="I13" s="257">
        <v>100</v>
      </c>
      <c r="J13" s="152"/>
      <c r="L13" s="152"/>
      <c r="M13" s="152"/>
    </row>
    <row r="14" spans="1:13" s="149" customFormat="1" ht="14.25" x14ac:dyDescent="0.2">
      <c r="A14" s="146"/>
      <c r="B14" s="146"/>
      <c r="C14" s="146"/>
      <c r="D14" s="146"/>
      <c r="F14" s="150"/>
      <c r="G14" s="151"/>
      <c r="H14" s="151"/>
      <c r="I14" s="151"/>
      <c r="J14" s="152"/>
      <c r="L14" s="152"/>
      <c r="M14" s="152"/>
    </row>
    <row r="15" spans="1:13" s="149" customFormat="1" ht="30" x14ac:dyDescent="0.2">
      <c r="A15" s="146"/>
      <c r="B15" s="146"/>
      <c r="C15" s="146"/>
      <c r="D15" s="146"/>
      <c r="F15" s="253" t="s">
        <v>200</v>
      </c>
      <c r="G15" s="221" t="s">
        <v>186</v>
      </c>
      <c r="H15" s="221" t="s">
        <v>187</v>
      </c>
      <c r="I15" s="221" t="s">
        <v>188</v>
      </c>
      <c r="J15" s="152"/>
      <c r="L15" s="152"/>
      <c r="M15" s="152"/>
    </row>
    <row r="16" spans="1:13" s="149" customFormat="1" ht="14.25" x14ac:dyDescent="0.2">
      <c r="A16" s="146" t="str">
        <f>'PROGRAM BUDGET &amp; FISCAL REPORT'!$G$7</f>
        <v>WISE &amp; Healthy Aging</v>
      </c>
      <c r="B16" s="146" t="str">
        <f>'PROGRAM BUDGET &amp; FISCAL REPORT'!$G$8</f>
        <v>Oasis Westside</v>
      </c>
      <c r="C16" s="146"/>
      <c r="D16" s="146" t="s">
        <v>189</v>
      </c>
      <c r="E16" s="149" t="s">
        <v>201</v>
      </c>
      <c r="F16" s="222" t="s">
        <v>202</v>
      </c>
      <c r="G16" s="251">
        <v>21</v>
      </c>
      <c r="H16" s="257">
        <v>20</v>
      </c>
      <c r="I16" s="257">
        <v>20</v>
      </c>
      <c r="J16" s="152"/>
      <c r="L16" s="152"/>
      <c r="M16" s="152"/>
    </row>
    <row r="17" spans="1:13" s="149" customFormat="1" ht="14.25" x14ac:dyDescent="0.2">
      <c r="A17" s="146" t="str">
        <f>'PROGRAM BUDGET &amp; FISCAL REPORT'!$G$7</f>
        <v>WISE &amp; Healthy Aging</v>
      </c>
      <c r="B17" s="146" t="str">
        <f>'PROGRAM BUDGET &amp; FISCAL REPORT'!$G$8</f>
        <v>Oasis Westside</v>
      </c>
      <c r="C17" s="146"/>
      <c r="D17" s="146" t="s">
        <v>189</v>
      </c>
      <c r="E17" s="149" t="s">
        <v>201</v>
      </c>
      <c r="F17" s="222" t="s">
        <v>203</v>
      </c>
      <c r="G17" s="251">
        <v>31</v>
      </c>
      <c r="H17" s="257">
        <v>39</v>
      </c>
      <c r="I17" s="257">
        <v>39</v>
      </c>
      <c r="J17" s="152"/>
      <c r="L17" s="152"/>
      <c r="M17" s="152"/>
    </row>
    <row r="18" spans="1:13" s="149" customFormat="1" ht="14.25" x14ac:dyDescent="0.2">
      <c r="A18" s="146" t="str">
        <f>'PROGRAM BUDGET &amp; FISCAL REPORT'!$G$7</f>
        <v>WISE &amp; Healthy Aging</v>
      </c>
      <c r="B18" s="146" t="str">
        <f>'PROGRAM BUDGET &amp; FISCAL REPORT'!$G$8</f>
        <v>Oasis Westside</v>
      </c>
      <c r="C18" s="146"/>
      <c r="D18" s="146" t="s">
        <v>189</v>
      </c>
      <c r="E18" s="149" t="s">
        <v>201</v>
      </c>
      <c r="F18" s="222" t="s">
        <v>204</v>
      </c>
      <c r="G18" s="251">
        <v>68</v>
      </c>
      <c r="H18" s="257">
        <v>26</v>
      </c>
      <c r="I18" s="257">
        <v>26</v>
      </c>
      <c r="J18" s="152"/>
      <c r="L18" s="152"/>
      <c r="M18" s="152"/>
    </row>
    <row r="19" spans="1:13" s="149" customFormat="1" ht="14.25" x14ac:dyDescent="0.2">
      <c r="A19" s="146" t="str">
        <f>'PROGRAM BUDGET &amp; FISCAL REPORT'!$G$7</f>
        <v>WISE &amp; Healthy Aging</v>
      </c>
      <c r="B19" s="146" t="str">
        <f>'PROGRAM BUDGET &amp; FISCAL REPORT'!$G$8</f>
        <v>Oasis Westside</v>
      </c>
      <c r="C19" s="146"/>
      <c r="D19" s="146" t="s">
        <v>189</v>
      </c>
      <c r="E19" s="149" t="s">
        <v>201</v>
      </c>
      <c r="F19" s="222" t="s">
        <v>205</v>
      </c>
      <c r="G19" s="251">
        <v>265</v>
      </c>
      <c r="H19" s="257">
        <v>296</v>
      </c>
      <c r="I19" s="257">
        <v>327</v>
      </c>
      <c r="J19" s="152"/>
      <c r="L19" s="152"/>
      <c r="M19" s="152"/>
    </row>
    <row r="20" spans="1:13" s="149" customFormat="1" ht="14.25" x14ac:dyDescent="0.2">
      <c r="A20" s="146" t="str">
        <f>'PROGRAM BUDGET &amp; FISCAL REPORT'!$G$7</f>
        <v>WISE &amp; Healthy Aging</v>
      </c>
      <c r="B20" s="146" t="str">
        <f>'PROGRAM BUDGET &amp; FISCAL REPORT'!$G$8</f>
        <v>Oasis Westside</v>
      </c>
      <c r="C20" s="146"/>
      <c r="D20" s="146" t="s">
        <v>189</v>
      </c>
      <c r="E20" s="149" t="s">
        <v>201</v>
      </c>
      <c r="F20" s="222" t="s">
        <v>206</v>
      </c>
      <c r="G20" s="251">
        <v>5</v>
      </c>
      <c r="H20" s="257">
        <v>0</v>
      </c>
      <c r="I20" s="257">
        <v>0</v>
      </c>
      <c r="J20" s="152"/>
      <c r="L20" s="152"/>
      <c r="M20" s="152"/>
    </row>
    <row r="21" spans="1:13" s="149" customFormat="1" ht="14.25" x14ac:dyDescent="0.2">
      <c r="A21" s="146" t="str">
        <f>'PROGRAM BUDGET &amp; FISCAL REPORT'!$G$7</f>
        <v>WISE &amp; Healthy Aging</v>
      </c>
      <c r="B21" s="146" t="str">
        <f>'PROGRAM BUDGET &amp; FISCAL REPORT'!$G$8</f>
        <v>Oasis Westside</v>
      </c>
      <c r="C21" s="146"/>
      <c r="D21" s="146" t="s">
        <v>189</v>
      </c>
      <c r="E21" s="149" t="s">
        <v>201</v>
      </c>
      <c r="F21" s="222" t="s">
        <v>207</v>
      </c>
      <c r="G21" s="251">
        <v>130</v>
      </c>
      <c r="H21" s="257">
        <v>10</v>
      </c>
      <c r="I21" s="257">
        <v>13</v>
      </c>
      <c r="J21" s="152"/>
      <c r="L21" s="152"/>
      <c r="M21" s="152"/>
    </row>
    <row r="22" spans="1:13" s="149" customFormat="1" ht="14.25" x14ac:dyDescent="0.2">
      <c r="A22" s="146" t="str">
        <f>'PROGRAM BUDGET &amp; FISCAL REPORT'!$G$7</f>
        <v>WISE &amp; Healthy Aging</v>
      </c>
      <c r="B22" s="146" t="str">
        <f>'PROGRAM BUDGET &amp; FISCAL REPORT'!$G$8</f>
        <v>Oasis Westside</v>
      </c>
      <c r="C22" s="146"/>
      <c r="D22" s="146" t="s">
        <v>189</v>
      </c>
      <c r="E22" s="149" t="s">
        <v>201</v>
      </c>
      <c r="F22" s="222" t="s">
        <v>208</v>
      </c>
      <c r="G22" s="251">
        <v>0</v>
      </c>
      <c r="H22" s="257">
        <v>103</v>
      </c>
      <c r="I22" s="257">
        <v>93</v>
      </c>
      <c r="J22" s="152"/>
      <c r="L22" s="152"/>
      <c r="M22" s="152"/>
    </row>
    <row r="23" spans="1:13" s="149" customFormat="1" ht="15" x14ac:dyDescent="0.2">
      <c r="A23" s="146"/>
      <c r="B23" s="146"/>
      <c r="C23" s="146"/>
      <c r="D23" s="146"/>
      <c r="F23" s="223" t="s">
        <v>209</v>
      </c>
      <c r="G23" s="213">
        <f>SUM(G16:G22)</f>
        <v>520</v>
      </c>
      <c r="H23" s="213">
        <f>SUM(H16:H22)</f>
        <v>494</v>
      </c>
      <c r="I23" s="213">
        <f>SUM(I16:I22)</f>
        <v>518</v>
      </c>
      <c r="J23" s="152"/>
      <c r="L23" s="152"/>
      <c r="M23" s="152"/>
    </row>
    <row r="24" spans="1:13" s="149" customFormat="1" ht="14.25" x14ac:dyDescent="0.2">
      <c r="A24" s="146"/>
      <c r="B24" s="146"/>
      <c r="C24" s="146"/>
      <c r="D24" s="146"/>
      <c r="G24" s="151"/>
      <c r="H24" s="151"/>
      <c r="I24" s="151"/>
      <c r="J24" s="152"/>
      <c r="L24" s="152"/>
      <c r="M24" s="152"/>
    </row>
    <row r="25" spans="1:13" s="149" customFormat="1" ht="30" x14ac:dyDescent="0.2">
      <c r="A25" s="146"/>
      <c r="B25" s="146"/>
      <c r="C25" s="146"/>
      <c r="D25" s="146"/>
      <c r="F25" s="253" t="s">
        <v>210</v>
      </c>
      <c r="G25" s="221" t="s">
        <v>186</v>
      </c>
      <c r="H25" s="221" t="s">
        <v>187</v>
      </c>
      <c r="I25" s="221" t="s">
        <v>188</v>
      </c>
      <c r="J25" s="152"/>
      <c r="L25" s="152"/>
      <c r="M25" s="152"/>
    </row>
    <row r="26" spans="1:13" s="149" customFormat="1" ht="14.25" x14ac:dyDescent="0.2">
      <c r="A26" s="146" t="str">
        <f>'PROGRAM BUDGET &amp; FISCAL REPORT'!$G$7</f>
        <v>WISE &amp; Healthy Aging</v>
      </c>
      <c r="B26" s="146" t="str">
        <f>'PROGRAM BUDGET &amp; FISCAL REPORT'!$G$8</f>
        <v>Oasis Westside</v>
      </c>
      <c r="C26" s="146"/>
      <c r="D26" s="146" t="s">
        <v>189</v>
      </c>
      <c r="E26" s="149" t="s">
        <v>211</v>
      </c>
      <c r="F26" s="222">
        <v>90401</v>
      </c>
      <c r="G26" s="251" t="s">
        <v>197</v>
      </c>
      <c r="H26" s="257">
        <v>94</v>
      </c>
      <c r="I26" s="257">
        <v>95</v>
      </c>
      <c r="J26" s="152"/>
      <c r="L26" s="152"/>
      <c r="M26" s="152"/>
    </row>
    <row r="27" spans="1:13" s="149" customFormat="1" ht="14.25" x14ac:dyDescent="0.2">
      <c r="A27" s="146" t="str">
        <f>'PROGRAM BUDGET &amp; FISCAL REPORT'!$G$7</f>
        <v>WISE &amp; Healthy Aging</v>
      </c>
      <c r="B27" s="146" t="str">
        <f>'PROGRAM BUDGET &amp; FISCAL REPORT'!$G$8</f>
        <v>Oasis Westside</v>
      </c>
      <c r="C27" s="146"/>
      <c r="D27" s="146" t="s">
        <v>189</v>
      </c>
      <c r="E27" s="149" t="s">
        <v>211</v>
      </c>
      <c r="F27" s="222">
        <v>90402</v>
      </c>
      <c r="G27" s="251" t="s">
        <v>197</v>
      </c>
      <c r="H27" s="257">
        <v>35</v>
      </c>
      <c r="I27" s="257">
        <v>38</v>
      </c>
      <c r="J27" s="152"/>
      <c r="L27" s="152"/>
      <c r="M27" s="152"/>
    </row>
    <row r="28" spans="1:13" s="149" customFormat="1" ht="14.25" x14ac:dyDescent="0.2">
      <c r="A28" s="146" t="str">
        <f>'PROGRAM BUDGET &amp; FISCAL REPORT'!$G$7</f>
        <v>WISE &amp; Healthy Aging</v>
      </c>
      <c r="B28" s="146" t="str">
        <f>'PROGRAM BUDGET &amp; FISCAL REPORT'!$G$8</f>
        <v>Oasis Westside</v>
      </c>
      <c r="C28" s="146"/>
      <c r="D28" s="146" t="s">
        <v>189</v>
      </c>
      <c r="E28" s="149" t="s">
        <v>211</v>
      </c>
      <c r="F28" s="222">
        <v>90403</v>
      </c>
      <c r="G28" s="251" t="s">
        <v>197</v>
      </c>
      <c r="H28" s="257">
        <v>154</v>
      </c>
      <c r="I28" s="257">
        <v>158</v>
      </c>
      <c r="J28" s="152"/>
      <c r="L28" s="152"/>
      <c r="M28" s="152"/>
    </row>
    <row r="29" spans="1:13" s="149" customFormat="1" ht="14.25" x14ac:dyDescent="0.2">
      <c r="A29" s="146" t="str">
        <f>'PROGRAM BUDGET &amp; FISCAL REPORT'!$G$7</f>
        <v>WISE &amp; Healthy Aging</v>
      </c>
      <c r="B29" s="146" t="str">
        <f>'PROGRAM BUDGET &amp; FISCAL REPORT'!$G$8</f>
        <v>Oasis Westside</v>
      </c>
      <c r="C29" s="146"/>
      <c r="D29" s="146" t="s">
        <v>189</v>
      </c>
      <c r="E29" s="149" t="s">
        <v>211</v>
      </c>
      <c r="F29" s="222">
        <v>90404</v>
      </c>
      <c r="G29" s="251" t="s">
        <v>197</v>
      </c>
      <c r="H29" s="257">
        <v>87</v>
      </c>
      <c r="I29" s="257">
        <v>95</v>
      </c>
      <c r="J29" s="152"/>
      <c r="L29" s="152"/>
      <c r="M29" s="152"/>
    </row>
    <row r="30" spans="1:13" s="149" customFormat="1" ht="14.25" x14ac:dyDescent="0.2">
      <c r="A30" s="146" t="str">
        <f>'PROGRAM BUDGET &amp; FISCAL REPORT'!$G$7</f>
        <v>WISE &amp; Healthy Aging</v>
      </c>
      <c r="B30" s="146" t="str">
        <f>'PROGRAM BUDGET &amp; FISCAL REPORT'!$G$8</f>
        <v>Oasis Westside</v>
      </c>
      <c r="C30" s="146"/>
      <c r="D30" s="146" t="s">
        <v>189</v>
      </c>
      <c r="E30" s="149" t="s">
        <v>211</v>
      </c>
      <c r="F30" s="222">
        <v>90405</v>
      </c>
      <c r="G30" s="251" t="s">
        <v>197</v>
      </c>
      <c r="H30" s="257">
        <v>124</v>
      </c>
      <c r="I30" s="257">
        <v>132</v>
      </c>
      <c r="J30" s="152"/>
      <c r="L30" s="152"/>
      <c r="M30" s="152"/>
    </row>
    <row r="31" spans="1:13" s="149" customFormat="1" ht="14.25" x14ac:dyDescent="0.2">
      <c r="A31" s="146" t="str">
        <f>'PROGRAM BUDGET &amp; FISCAL REPORT'!$G$7</f>
        <v>WISE &amp; Healthy Aging</v>
      </c>
      <c r="B31" s="146" t="str">
        <f>'PROGRAM BUDGET &amp; FISCAL REPORT'!$G$8</f>
        <v>Oasis Westside</v>
      </c>
      <c r="C31" s="146"/>
      <c r="D31" s="146" t="s">
        <v>189</v>
      </c>
      <c r="E31" s="149" t="s">
        <v>211</v>
      </c>
      <c r="F31" s="222" t="s">
        <v>212</v>
      </c>
      <c r="G31" s="251" t="s">
        <v>197</v>
      </c>
      <c r="H31" s="257">
        <v>0</v>
      </c>
      <c r="I31" s="257">
        <v>0</v>
      </c>
      <c r="J31" s="152"/>
      <c r="L31" s="152"/>
      <c r="M31" s="152"/>
    </row>
    <row r="32" spans="1:13" s="149" customFormat="1" ht="15" x14ac:dyDescent="0.2">
      <c r="A32" s="146"/>
      <c r="B32" s="146"/>
      <c r="C32" s="146"/>
      <c r="D32" s="146"/>
      <c r="F32" s="223" t="s">
        <v>209</v>
      </c>
      <c r="G32" s="213">
        <f>SUM(G26:G31)</f>
        <v>0</v>
      </c>
      <c r="H32" s="213">
        <f>SUM(H26:H31)</f>
        <v>494</v>
      </c>
      <c r="I32" s="213">
        <f>SUM(I26:I31)</f>
        <v>518</v>
      </c>
      <c r="J32" s="152"/>
      <c r="L32" s="152"/>
      <c r="M32" s="152"/>
    </row>
    <row r="33" spans="1:13" s="149" customFormat="1" ht="15" x14ac:dyDescent="0.2">
      <c r="A33" s="147"/>
      <c r="B33" s="147"/>
      <c r="C33" s="146"/>
      <c r="D33" s="146"/>
      <c r="G33" s="152"/>
      <c r="H33" s="151"/>
      <c r="I33" s="151"/>
      <c r="J33" s="152"/>
      <c r="L33" s="152"/>
      <c r="M33" s="152"/>
    </row>
    <row r="34" spans="1:13" s="149" customFormat="1" ht="30" x14ac:dyDescent="0.2">
      <c r="A34" s="146"/>
      <c r="B34" s="146"/>
      <c r="C34" s="146"/>
      <c r="D34" s="146"/>
      <c r="G34" s="221" t="s">
        <v>187</v>
      </c>
      <c r="H34" s="221" t="s">
        <v>187</v>
      </c>
      <c r="I34" s="221" t="s">
        <v>187</v>
      </c>
      <c r="J34" s="221" t="s">
        <v>188</v>
      </c>
      <c r="K34" s="221" t="s">
        <v>188</v>
      </c>
      <c r="L34" s="221" t="s">
        <v>188</v>
      </c>
    </row>
    <row r="35" spans="1:13" s="149" customFormat="1" ht="30" x14ac:dyDescent="0.2">
      <c r="A35" s="146"/>
      <c r="B35" s="146"/>
      <c r="C35" s="146"/>
      <c r="D35" s="146"/>
      <c r="F35" s="253" t="s">
        <v>213</v>
      </c>
      <c r="G35" s="221" t="s">
        <v>214</v>
      </c>
      <c r="H35" s="221" t="s">
        <v>215</v>
      </c>
      <c r="I35" s="221" t="s">
        <v>216</v>
      </c>
      <c r="J35" s="221" t="s">
        <v>214</v>
      </c>
      <c r="K35" s="221" t="s">
        <v>215</v>
      </c>
      <c r="L35" s="221" t="s">
        <v>216</v>
      </c>
    </row>
    <row r="36" spans="1:13" s="149" customFormat="1" ht="14.25" x14ac:dyDescent="0.2">
      <c r="A36" s="146" t="str">
        <f>'PROGRAM BUDGET &amp; FISCAL REPORT'!$G$7</f>
        <v>WISE &amp; Healthy Aging</v>
      </c>
      <c r="B36" s="146" t="str">
        <f>'PROGRAM BUDGET &amp; FISCAL REPORT'!$G$8</f>
        <v>Oasis Westside</v>
      </c>
      <c r="C36" s="146" t="s">
        <v>182</v>
      </c>
      <c r="D36" s="146" t="s">
        <v>189</v>
      </c>
      <c r="E36" s="149" t="s">
        <v>217</v>
      </c>
      <c r="F36" s="214" t="s">
        <v>218</v>
      </c>
      <c r="G36" s="258"/>
      <c r="H36" s="259"/>
      <c r="I36" s="259"/>
      <c r="J36" s="258"/>
      <c r="K36" s="259"/>
      <c r="L36" s="259"/>
    </row>
    <row r="37" spans="1:13" s="149" customFormat="1" ht="14.25" x14ac:dyDescent="0.2">
      <c r="A37" s="146" t="str">
        <f>'PROGRAM BUDGET &amp; FISCAL REPORT'!$G$7</f>
        <v>WISE &amp; Healthy Aging</v>
      </c>
      <c r="B37" s="146" t="str">
        <f>'PROGRAM BUDGET &amp; FISCAL REPORT'!$G$8</f>
        <v>Oasis Westside</v>
      </c>
      <c r="C37" s="146" t="s">
        <v>182</v>
      </c>
      <c r="D37" s="146" t="s">
        <v>189</v>
      </c>
      <c r="E37" s="149" t="s">
        <v>217</v>
      </c>
      <c r="F37" s="215" t="s">
        <v>219</v>
      </c>
      <c r="G37" s="258"/>
      <c r="H37" s="259"/>
      <c r="I37" s="259"/>
      <c r="J37" s="258"/>
      <c r="K37" s="259"/>
      <c r="L37" s="259"/>
    </row>
    <row r="38" spans="1:13" s="149" customFormat="1" ht="14.25" x14ac:dyDescent="0.2">
      <c r="A38" s="146" t="str">
        <f>'PROGRAM BUDGET &amp; FISCAL REPORT'!$G$7</f>
        <v>WISE &amp; Healthy Aging</v>
      </c>
      <c r="B38" s="146" t="str">
        <f>'PROGRAM BUDGET &amp; FISCAL REPORT'!$G$8</f>
        <v>Oasis Westside</v>
      </c>
      <c r="C38" s="146" t="s">
        <v>182</v>
      </c>
      <c r="D38" s="146" t="s">
        <v>189</v>
      </c>
      <c r="E38" s="149" t="s">
        <v>217</v>
      </c>
      <c r="F38" s="215" t="s">
        <v>220</v>
      </c>
      <c r="G38" s="258"/>
      <c r="H38" s="259"/>
      <c r="I38" s="259"/>
      <c r="J38" s="258"/>
      <c r="K38" s="259"/>
      <c r="L38" s="259"/>
    </row>
    <row r="39" spans="1:13" s="149" customFormat="1" ht="14.25" x14ac:dyDescent="0.2">
      <c r="A39" s="146" t="str">
        <f>'PROGRAM BUDGET &amp; FISCAL REPORT'!$G$7</f>
        <v>WISE &amp; Healthy Aging</v>
      </c>
      <c r="B39" s="146" t="str">
        <f>'PROGRAM BUDGET &amp; FISCAL REPORT'!$G$8</f>
        <v>Oasis Westside</v>
      </c>
      <c r="C39" s="146" t="s">
        <v>182</v>
      </c>
      <c r="D39" s="146" t="s">
        <v>189</v>
      </c>
      <c r="E39" s="149" t="s">
        <v>217</v>
      </c>
      <c r="F39" s="214" t="s">
        <v>221</v>
      </c>
      <c r="G39" s="258"/>
      <c r="H39" s="259"/>
      <c r="I39" s="259"/>
      <c r="J39" s="258"/>
      <c r="K39" s="259"/>
      <c r="L39" s="259"/>
    </row>
    <row r="40" spans="1:13" s="149" customFormat="1" ht="14.25" x14ac:dyDescent="0.2">
      <c r="A40" s="146" t="str">
        <f>'PROGRAM BUDGET &amp; FISCAL REPORT'!$G$7</f>
        <v>WISE &amp; Healthy Aging</v>
      </c>
      <c r="B40" s="146" t="str">
        <f>'PROGRAM BUDGET &amp; FISCAL REPORT'!$G$8</f>
        <v>Oasis Westside</v>
      </c>
      <c r="C40" s="146" t="s">
        <v>182</v>
      </c>
      <c r="D40" s="146" t="s">
        <v>189</v>
      </c>
      <c r="E40" s="149" t="s">
        <v>217</v>
      </c>
      <c r="F40" s="214" t="s">
        <v>222</v>
      </c>
      <c r="G40" s="258"/>
      <c r="H40" s="259"/>
      <c r="I40" s="259"/>
      <c r="J40" s="258"/>
      <c r="K40" s="259"/>
      <c r="L40" s="259"/>
    </row>
    <row r="41" spans="1:13" s="149" customFormat="1" ht="14.25" x14ac:dyDescent="0.2">
      <c r="A41" s="146" t="str">
        <f>'PROGRAM BUDGET &amp; FISCAL REPORT'!$G$7</f>
        <v>WISE &amp; Healthy Aging</v>
      </c>
      <c r="B41" s="146" t="str">
        <f>'PROGRAM BUDGET &amp; FISCAL REPORT'!$G$8</f>
        <v>Oasis Westside</v>
      </c>
      <c r="C41" s="146" t="s">
        <v>182</v>
      </c>
      <c r="D41" s="146" t="s">
        <v>189</v>
      </c>
      <c r="E41" s="149" t="s">
        <v>217</v>
      </c>
      <c r="F41" s="214" t="s">
        <v>223</v>
      </c>
      <c r="G41" s="258"/>
      <c r="H41" s="259"/>
      <c r="I41" s="259"/>
      <c r="J41" s="258"/>
      <c r="K41" s="259"/>
      <c r="L41" s="259"/>
    </row>
    <row r="42" spans="1:13" s="149" customFormat="1" ht="14.25" x14ac:dyDescent="0.2">
      <c r="A42" s="146" t="str">
        <f>'PROGRAM BUDGET &amp; FISCAL REPORT'!$G$7</f>
        <v>WISE &amp; Healthy Aging</v>
      </c>
      <c r="B42" s="146" t="str">
        <f>'PROGRAM BUDGET &amp; FISCAL REPORT'!$G$8</f>
        <v>Oasis Westside</v>
      </c>
      <c r="C42" s="146" t="s">
        <v>182</v>
      </c>
      <c r="D42" s="146" t="s">
        <v>189</v>
      </c>
      <c r="E42" s="149" t="s">
        <v>217</v>
      </c>
      <c r="F42" s="214" t="s">
        <v>224</v>
      </c>
      <c r="G42" s="259">
        <v>1</v>
      </c>
      <c r="H42" s="259">
        <v>3</v>
      </c>
      <c r="I42" s="259"/>
      <c r="J42" s="259">
        <v>2</v>
      </c>
      <c r="K42" s="259">
        <v>5</v>
      </c>
      <c r="L42" s="259"/>
    </row>
    <row r="43" spans="1:13" s="149" customFormat="1" ht="14.25" x14ac:dyDescent="0.2">
      <c r="A43" s="146" t="str">
        <f>'PROGRAM BUDGET &amp; FISCAL REPORT'!$G$7</f>
        <v>WISE &amp; Healthy Aging</v>
      </c>
      <c r="B43" s="146" t="str">
        <f>'PROGRAM BUDGET &amp; FISCAL REPORT'!$G$8</f>
        <v>Oasis Westside</v>
      </c>
      <c r="C43" s="146" t="s">
        <v>182</v>
      </c>
      <c r="D43" s="146" t="s">
        <v>189</v>
      </c>
      <c r="E43" s="149" t="s">
        <v>217</v>
      </c>
      <c r="F43" s="214" t="s">
        <v>225</v>
      </c>
      <c r="G43" s="259">
        <v>5</v>
      </c>
      <c r="H43" s="259">
        <v>26</v>
      </c>
      <c r="I43" s="259"/>
      <c r="J43" s="259">
        <v>5</v>
      </c>
      <c r="K43" s="259">
        <v>24</v>
      </c>
      <c r="L43" s="259"/>
    </row>
    <row r="44" spans="1:13" s="149" customFormat="1" ht="14.25" x14ac:dyDescent="0.2">
      <c r="A44" s="146" t="str">
        <f>'PROGRAM BUDGET &amp; FISCAL REPORT'!$G$7</f>
        <v>WISE &amp; Healthy Aging</v>
      </c>
      <c r="B44" s="146" t="str">
        <f>'PROGRAM BUDGET &amp; FISCAL REPORT'!$G$8</f>
        <v>Oasis Westside</v>
      </c>
      <c r="C44" s="146" t="s">
        <v>182</v>
      </c>
      <c r="D44" s="146" t="s">
        <v>189</v>
      </c>
      <c r="E44" s="149" t="s">
        <v>217</v>
      </c>
      <c r="F44" s="214" t="s">
        <v>226</v>
      </c>
      <c r="G44" s="259">
        <v>32</v>
      </c>
      <c r="H44" s="259">
        <v>118</v>
      </c>
      <c r="I44" s="259"/>
      <c r="J44" s="259">
        <v>29</v>
      </c>
      <c r="K44" s="259">
        <v>127</v>
      </c>
      <c r="L44" s="259"/>
    </row>
    <row r="45" spans="1:13" s="149" customFormat="1" ht="14.25" x14ac:dyDescent="0.2">
      <c r="A45" s="146" t="str">
        <f>'PROGRAM BUDGET &amp; FISCAL REPORT'!$G$7</f>
        <v>WISE &amp; Healthy Aging</v>
      </c>
      <c r="B45" s="146" t="str">
        <f>'PROGRAM BUDGET &amp; FISCAL REPORT'!$G$8</f>
        <v>Oasis Westside</v>
      </c>
      <c r="C45" s="146" t="s">
        <v>182</v>
      </c>
      <c r="D45" s="146" t="s">
        <v>189</v>
      </c>
      <c r="E45" s="149" t="s">
        <v>217</v>
      </c>
      <c r="F45" s="214" t="s">
        <v>227</v>
      </c>
      <c r="G45" s="259">
        <v>36</v>
      </c>
      <c r="H45" s="259">
        <v>178</v>
      </c>
      <c r="I45" s="259"/>
      <c r="J45" s="259">
        <v>40</v>
      </c>
      <c r="K45" s="259">
        <v>182</v>
      </c>
      <c r="L45" s="259"/>
    </row>
    <row r="46" spans="1:13" s="149" customFormat="1" ht="14.25" x14ac:dyDescent="0.2">
      <c r="A46" s="146" t="str">
        <f>'PROGRAM BUDGET &amp; FISCAL REPORT'!$G$7</f>
        <v>WISE &amp; Healthy Aging</v>
      </c>
      <c r="B46" s="146" t="str">
        <f>'PROGRAM BUDGET &amp; FISCAL REPORT'!$G$8</f>
        <v>Oasis Westside</v>
      </c>
      <c r="C46" s="146" t="s">
        <v>182</v>
      </c>
      <c r="D46" s="146" t="s">
        <v>189</v>
      </c>
      <c r="E46" s="149" t="s">
        <v>217</v>
      </c>
      <c r="F46" s="214" t="s">
        <v>228</v>
      </c>
      <c r="G46" s="259">
        <v>18</v>
      </c>
      <c r="H46" s="259">
        <v>77</v>
      </c>
      <c r="I46" s="259"/>
      <c r="J46" s="259">
        <v>20</v>
      </c>
      <c r="K46" s="259">
        <v>84</v>
      </c>
      <c r="L46" s="259"/>
    </row>
    <row r="47" spans="1:13" ht="15" x14ac:dyDescent="0.2">
      <c r="E47" s="136"/>
      <c r="F47" s="216" t="s">
        <v>209</v>
      </c>
      <c r="G47" s="252">
        <f t="shared" ref="G47:L47" si="0">SUM(G36:G46)</f>
        <v>92</v>
      </c>
      <c r="H47" s="252">
        <f t="shared" si="0"/>
        <v>402</v>
      </c>
      <c r="I47" s="252">
        <f t="shared" si="0"/>
        <v>0</v>
      </c>
      <c r="J47" s="252">
        <f t="shared" si="0"/>
        <v>96</v>
      </c>
      <c r="K47" s="252">
        <f t="shared" si="0"/>
        <v>422</v>
      </c>
      <c r="L47" s="252">
        <f t="shared" si="0"/>
        <v>0</v>
      </c>
      <c r="M47" s="136"/>
    </row>
    <row r="48" spans="1:13" x14ac:dyDescent="0.2">
      <c r="E48" s="136"/>
      <c r="F48" s="140"/>
      <c r="G48" s="142"/>
      <c r="H48" s="60"/>
      <c r="I48" s="142"/>
      <c r="J48" s="142"/>
    </row>
    <row r="49" spans="1:8" s="264" customFormat="1" ht="45" x14ac:dyDescent="0.2">
      <c r="A49" s="260"/>
      <c r="B49" s="260"/>
      <c r="C49" s="260"/>
      <c r="D49" s="261"/>
      <c r="E49" s="262"/>
      <c r="F49" s="253" t="s">
        <v>229</v>
      </c>
      <c r="G49" s="247" t="s">
        <v>186</v>
      </c>
      <c r="H49" s="263" t="s">
        <v>230</v>
      </c>
    </row>
    <row r="50" spans="1:8" s="264" customFormat="1" ht="14.25" x14ac:dyDescent="0.2">
      <c r="A50" s="260"/>
      <c r="B50" s="260"/>
      <c r="C50" s="260"/>
      <c r="D50" s="260"/>
      <c r="F50" s="260"/>
      <c r="G50" s="248">
        <f>IFERROR('PROGRAM BUDGET &amp; FISCAL REPORT'!L18/'PARTICIPANTS &amp; DEMOGRAPHICS'!G6,"N/A")</f>
        <v>195.39500000000001</v>
      </c>
      <c r="H50" s="249">
        <f>IFERROR('PROGRAM BUDGET &amp; FISCAL REPORT'!S18/'PARTICIPANTS &amp; DEMOGRAPHICS'!I6, "N/A")</f>
        <v>190.62923170731708</v>
      </c>
    </row>
  </sheetData>
  <sheetProtection algorithmName="SHA-512" hashValue="pSiMir8aQH7vnTqV2AM41jqmCbpoRzF2yLJ40p5CDL88LSLxFXewoAiiVxV+lhMGaT6W6MGbUe8LSYx4SbXJOg==" saltValue="CBhEY10JEEeZpuK66Sn8ew==" spinCount="100000" sheet="1" objects="1" scenarios="1"/>
  <pageMargins left="0.7" right="0.7"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92D050"/>
    <pageSetUpPr fitToPage="1"/>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143" hidden="1" customWidth="1"/>
    <col min="2" max="2" width="48.85546875" style="143" customWidth="1"/>
    <col min="3" max="3" width="15.42578125" style="145" customWidth="1"/>
    <col min="4" max="4" width="19.140625" style="145" customWidth="1"/>
    <col min="5" max="5" width="19.7109375" style="145" customWidth="1"/>
    <col min="6" max="6" width="19.42578125" style="145" customWidth="1"/>
    <col min="7" max="7" width="31.42578125" style="145" customWidth="1"/>
    <col min="8" max="16384" width="11.42578125" style="143"/>
  </cols>
  <sheetData>
    <row r="1" spans="1:8" ht="18" x14ac:dyDescent="0.25">
      <c r="A1" s="57"/>
      <c r="B1" s="90" t="s">
        <v>20</v>
      </c>
      <c r="C1" s="155"/>
      <c r="D1" s="155" t="s">
        <v>231</v>
      </c>
      <c r="E1" s="155"/>
      <c r="F1" s="155"/>
      <c r="G1" s="143"/>
    </row>
    <row r="2" spans="1:8" ht="18" x14ac:dyDescent="0.25">
      <c r="A2" s="57"/>
      <c r="B2" s="90" t="s">
        <v>232</v>
      </c>
      <c r="C2" s="156"/>
      <c r="D2" s="156"/>
      <c r="E2" s="156"/>
      <c r="F2" s="156"/>
      <c r="G2" s="143"/>
    </row>
    <row r="3" spans="1:8" ht="22.5" customHeight="1" x14ac:dyDescent="0.25">
      <c r="A3" s="57"/>
      <c r="B3" s="104" t="str">
        <f>'PROGRAM BUDGET &amp; FISCAL REPORT'!F7</f>
        <v>AGENCY NAME:</v>
      </c>
      <c r="C3" s="129" t="str">
        <f>'PROGRAM BUDGET &amp; FISCAL REPORT'!G7</f>
        <v>WISE &amp; Healthy Aging</v>
      </c>
      <c r="D3" s="157"/>
      <c r="E3" s="157"/>
      <c r="F3" s="156"/>
      <c r="G3" s="143"/>
    </row>
    <row r="4" spans="1:8" ht="22.5" customHeight="1" x14ac:dyDescent="0.25">
      <c r="A4" s="57"/>
      <c r="B4" s="104" t="str">
        <f>'PROGRAM BUDGET &amp; FISCAL REPORT'!F8</f>
        <v>PROGRAM NAME:</v>
      </c>
      <c r="C4" s="129" t="str">
        <f>'PROGRAM BUDGET &amp; FISCAL REPORT'!G8</f>
        <v>Oasis Westside</v>
      </c>
      <c r="D4" s="157"/>
      <c r="E4" s="157"/>
      <c r="F4" s="156"/>
      <c r="G4" s="143"/>
    </row>
    <row r="5" spans="1:8" ht="8.25" customHeight="1" thickBot="1" x14ac:dyDescent="0.25">
      <c r="A5" s="57"/>
      <c r="B5" s="91"/>
      <c r="C5" s="156"/>
      <c r="D5" s="156"/>
      <c r="E5" s="156"/>
      <c r="F5" s="156"/>
      <c r="G5" s="143"/>
    </row>
    <row r="6" spans="1:8" ht="52.5" customHeight="1" x14ac:dyDescent="0.55000000000000004">
      <c r="B6" s="158" t="s">
        <v>233</v>
      </c>
      <c r="C6" s="159" t="s">
        <v>234</v>
      </c>
      <c r="D6" s="159"/>
      <c r="E6" s="159" t="s">
        <v>235</v>
      </c>
      <c r="F6" s="160"/>
      <c r="G6" s="143"/>
    </row>
    <row r="7" spans="1:8" ht="14.25" x14ac:dyDescent="0.2">
      <c r="B7" s="161" t="s">
        <v>236</v>
      </c>
      <c r="C7" s="162">
        <f>'PARTICIPANTS &amp; DEMOGRAPHICS'!G6</f>
        <v>800</v>
      </c>
      <c r="D7" s="163"/>
      <c r="E7" s="163">
        <f>'PARTICIPANTS &amp; DEMOGRAPHICS'!I6</f>
        <v>820</v>
      </c>
      <c r="F7" s="164"/>
      <c r="G7" s="143"/>
    </row>
    <row r="8" spans="1:8" ht="14.25" x14ac:dyDescent="0.2">
      <c r="B8" s="165" t="s">
        <v>237</v>
      </c>
      <c r="C8" s="162">
        <f>'PARTICIPANTS &amp; DEMOGRAPHICS'!G7</f>
        <v>520</v>
      </c>
      <c r="D8" s="163"/>
      <c r="E8" s="163">
        <f>'PARTICIPANTS &amp; DEMOGRAPHICS'!I7</f>
        <v>518</v>
      </c>
      <c r="F8" s="164"/>
      <c r="G8" s="143"/>
    </row>
    <row r="9" spans="1:8" ht="14.25" x14ac:dyDescent="0.2">
      <c r="B9" s="161" t="s">
        <v>238</v>
      </c>
      <c r="C9" s="212">
        <f>IFERROR(C8/C7, "N/A")</f>
        <v>0.65</v>
      </c>
      <c r="D9" s="167"/>
      <c r="E9" s="167">
        <f>IFERROR(E8/E7, "N/A")</f>
        <v>0.63170731707317074</v>
      </c>
      <c r="F9" s="164"/>
      <c r="G9" s="143"/>
    </row>
    <row r="10" spans="1:8" ht="14.25" x14ac:dyDescent="0.2">
      <c r="B10" s="161"/>
      <c r="C10" s="166"/>
      <c r="D10" s="167"/>
      <c r="E10" s="162"/>
      <c r="F10" s="164"/>
      <c r="G10" s="143"/>
    </row>
    <row r="11" spans="1:8" ht="63.75" customHeight="1" x14ac:dyDescent="0.55000000000000004">
      <c r="B11" s="168" t="s">
        <v>239</v>
      </c>
      <c r="C11" s="254" t="s">
        <v>240</v>
      </c>
      <c r="D11" s="254" t="s">
        <v>241</v>
      </c>
      <c r="E11" s="254" t="s">
        <v>242</v>
      </c>
      <c r="F11" s="255" t="s">
        <v>243</v>
      </c>
      <c r="G11" s="143"/>
    </row>
    <row r="12" spans="1:8" ht="16.5" customHeight="1" x14ac:dyDescent="0.2">
      <c r="B12" s="161" t="s">
        <v>244</v>
      </c>
      <c r="C12" s="169">
        <f>'PROGRAM BUDGET &amp; FISCAL REPORT'!L18</f>
        <v>156316</v>
      </c>
      <c r="D12" s="169">
        <f>'PROGRAM BUDGET &amp; FISCAL REPORT'!M18</f>
        <v>156316</v>
      </c>
      <c r="E12" s="169">
        <f>'PROGRAM BUDGET &amp; FISCAL REPORT'!S18</f>
        <v>156315.97</v>
      </c>
      <c r="F12" s="170">
        <f>'PROGRAM BUDGET &amp; FISCAL REPORT'!Q18</f>
        <v>156316.00000000003</v>
      </c>
      <c r="G12" s="143"/>
    </row>
    <row r="13" spans="1:8" ht="16.5" customHeight="1" x14ac:dyDescent="0.2">
      <c r="B13" s="161"/>
      <c r="C13" s="169"/>
      <c r="D13" s="169"/>
      <c r="E13" s="169"/>
      <c r="F13" s="170"/>
      <c r="G13" s="143"/>
    </row>
    <row r="14" spans="1:8" ht="19.5" x14ac:dyDescent="0.55000000000000004">
      <c r="B14" s="168" t="s">
        <v>245</v>
      </c>
      <c r="C14" s="290" t="s">
        <v>246</v>
      </c>
      <c r="D14" s="290"/>
      <c r="E14" s="290" t="s">
        <v>247</v>
      </c>
      <c r="F14" s="291"/>
      <c r="G14" s="143"/>
    </row>
    <row r="15" spans="1:8" ht="14.25" x14ac:dyDescent="0.2">
      <c r="B15" s="161" t="s">
        <v>248</v>
      </c>
      <c r="C15" s="95">
        <f>IFERROR(C12*C9,"N/A")</f>
        <v>101605.40000000001</v>
      </c>
      <c r="D15" s="171">
        <f>IFERROR(C15/C12,"N/A")</f>
        <v>0.65</v>
      </c>
      <c r="E15" s="172">
        <f>IFERROR(E12*E9,"N/A")</f>
        <v>98745.942024390242</v>
      </c>
      <c r="F15" s="173">
        <f>IFERROR(E15/E12,"N/A")</f>
        <v>0.63170731707317074</v>
      </c>
      <c r="G15" s="143"/>
    </row>
    <row r="16" spans="1:8" ht="14.25" x14ac:dyDescent="0.2">
      <c r="B16" s="161" t="s">
        <v>249</v>
      </c>
      <c r="C16" s="95">
        <f>D12</f>
        <v>156316</v>
      </c>
      <c r="D16" s="171">
        <f>IFERROR(C16/C15, "N/A")</f>
        <v>1.5384615384615383</v>
      </c>
      <c r="E16" s="172">
        <f>F12</f>
        <v>156316.00000000003</v>
      </c>
      <c r="F16" s="173">
        <f>IFERROR(E16/E15, "N/A")</f>
        <v>1.5830118868215364</v>
      </c>
      <c r="G16" s="143"/>
      <c r="H16" s="144"/>
    </row>
    <row r="17" spans="2:7" ht="15" thickBot="1" x14ac:dyDescent="0.25">
      <c r="B17" s="161"/>
      <c r="C17" s="95"/>
      <c r="D17" s="171"/>
      <c r="E17" s="172"/>
      <c r="F17" s="173"/>
      <c r="G17" s="143"/>
    </row>
    <row r="18" spans="2:7" ht="15.75" thickBot="1" x14ac:dyDescent="0.3">
      <c r="B18" s="174" t="s">
        <v>250</v>
      </c>
      <c r="C18" s="130">
        <f>IFERROR(C15-C16,"N/A")</f>
        <v>-54710.599999999991</v>
      </c>
      <c r="D18" s="175">
        <f>IFERROR(C18/C15, "N/A")</f>
        <v>-0.53846153846153832</v>
      </c>
      <c r="E18" s="130">
        <f>IFERROR(E15-E16, "N/A")</f>
        <v>-57570.057975609787</v>
      </c>
      <c r="F18" s="176">
        <f>IFERROR(E18/E15, "N/A")</f>
        <v>-0.58301188682153626</v>
      </c>
      <c r="G18" s="143"/>
    </row>
    <row r="19" spans="2:7" ht="30.75" thickBot="1" x14ac:dyDescent="0.3">
      <c r="B19" s="161"/>
      <c r="C19" s="177"/>
      <c r="D19" s="250" t="s">
        <v>251</v>
      </c>
      <c r="E19" s="163"/>
      <c r="F19" s="250" t="s">
        <v>251</v>
      </c>
    </row>
    <row r="20" spans="2:7" s="116" customFormat="1" ht="12.75" x14ac:dyDescent="0.2">
      <c r="B20" s="178"/>
      <c r="C20" s="128"/>
      <c r="D20" s="128"/>
      <c r="E20" s="128"/>
      <c r="F20" s="128"/>
      <c r="G20" s="145"/>
    </row>
  </sheetData>
  <sheetProtection algorithmName="SHA-512" hashValue="GXfjYQjJEvuzksoCuOhfTkVBp6jaTqrAfH8P69xcp57CWp+5+EhLpUqs17xu3t0O7bSAMaHL0gg+QJOeZkeZ7w==" saltValue="TktptCkPxjzFUbAgDTLdBQ==" spinCount="100000" sheet="1" objects="1" scenarios="1"/>
  <mergeCells count="2">
    <mergeCell ref="C14:D14"/>
    <mergeCell ref="E14:F14"/>
  </mergeCells>
  <pageMargins left="1" right="1" top="0.81" bottom="0.5" header="0.5" footer="0.5"/>
  <pageSetup scale="41" orientation="portrait" horizontalDpi="4294967295" verticalDpi="4294967295"/>
  <headerFooter alignWithMargins="0">
    <oddHeader>&amp;C&amp;"Arial,Bold"&amp;12Cash Match Calculation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2.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3.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4.xml><?xml version="1.0" encoding="utf-8"?>
<ds:datastoreItem xmlns:ds="http://schemas.openxmlformats.org/officeDocument/2006/customXml" ds:itemID="{1742DEF4-4038-4EE9-A963-21A36A3E3A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PROGRAM BUDGET &amp; FISCAL REPORT</vt:lpstr>
      <vt:lpstr>PARTICIPANTS &amp; DEMOGRAPHICS</vt:lpstr>
      <vt:lpstr>CASH MATCH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2023-02-16T23:58:48Z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0x010100224D4F2C6775654B907F0C20622A74BD</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MediaServiceImageTags">
    <vt:lpwstr/>
  </property>
</Properties>
</file>