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72" documentId="13_ncr:1_{84C03927-A5AF-4E8B-9D44-3A05A0BC3A62}" xr6:coauthVersionLast="46" xr6:coauthVersionMax="47" xr10:uidLastSave="{CA58E507-B37F-4DC8-BB51-B934DFCBC23D}"/>
  <workbookProtection workbookAlgorithmName="SHA-512" workbookHashValue="K5O0LJAm85jJkh+h93+B1Md2authqJvj4nq6gKtXQCkKh5xKNR05g0Yl3ehW1bHXcgUjHgZXRK1rWfFExEQUKg==" workbookSaltValue="Wi5YybgpdPEh5s73Ud6R+w=="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3" i="19" l="1"/>
  <c r="S34" i="19"/>
  <c r="P34" i="19"/>
  <c r="O34" i="19"/>
  <c r="M34" i="19"/>
  <c r="L34" i="19"/>
  <c r="S30" i="19"/>
  <c r="O30" i="19"/>
  <c r="M30" i="19"/>
  <c r="L30" i="19"/>
  <c r="S36" i="19"/>
  <c r="M36" i="19"/>
  <c r="J33" i="19"/>
  <c r="J32" i="19"/>
  <c r="J31" i="19"/>
  <c r="K34" i="19" s="1"/>
  <c r="J29" i="19"/>
  <c r="J28" i="19"/>
  <c r="K30" i="19" s="1"/>
  <c r="K36" i="19" l="1"/>
  <c r="L36" i="19"/>
  <c r="O36" i="19"/>
  <c r="P28" i="19" l="1"/>
  <c r="P30" i="19" s="1"/>
  <c r="P36" i="19" s="1"/>
  <c r="S66" i="19"/>
  <c r="L55" i="19"/>
  <c r="S95" i="19" l="1"/>
  <c r="S80" i="19"/>
  <c r="S78" i="19"/>
  <c r="S87" i="19"/>
  <c r="S98" i="19"/>
  <c r="S97" i="19"/>
  <c r="S107" i="19"/>
  <c r="S104" i="19"/>
  <c r="S102" i="19"/>
  <c r="S96" i="19"/>
  <c r="S94" i="19"/>
  <c r="S100" i="19"/>
  <c r="S99" i="19"/>
  <c r="P130" i="19" l="1"/>
  <c r="P96" i="19"/>
  <c r="Q28" i="19"/>
  <c r="Q29" i="19"/>
  <c r="R29" i="19" s="1"/>
  <c r="Q31" i="19"/>
  <c r="Q32" i="19"/>
  <c r="R32" i="19"/>
  <c r="Q33" i="19"/>
  <c r="R33" i="19" s="1"/>
  <c r="Q130" i="19"/>
  <c r="R130" i="19" s="1"/>
  <c r="Q121" i="19"/>
  <c r="R121" i="19" s="1"/>
  <c r="Q114" i="19"/>
  <c r="R114" i="19" s="1"/>
  <c r="Q107" i="19"/>
  <c r="R107" i="19" s="1"/>
  <c r="Q106" i="19"/>
  <c r="R106" i="19" s="1"/>
  <c r="Q105" i="19"/>
  <c r="R105" i="19" s="1"/>
  <c r="Q104" i="19"/>
  <c r="R104" i="19" s="1"/>
  <c r="Q103" i="19"/>
  <c r="R103" i="19" s="1"/>
  <c r="Q102" i="19"/>
  <c r="R102" i="19" s="1"/>
  <c r="Q101" i="19"/>
  <c r="R101" i="19" s="1"/>
  <c r="Q100" i="19"/>
  <c r="R100" i="19" s="1"/>
  <c r="Q99" i="19"/>
  <c r="R99" i="19" s="1"/>
  <c r="Q98" i="19"/>
  <c r="R98" i="19" s="1"/>
  <c r="Q97" i="19"/>
  <c r="R97" i="19" s="1"/>
  <c r="Q96" i="19"/>
  <c r="R96" i="19" s="1"/>
  <c r="Q95" i="19"/>
  <c r="R95" i="19" s="1"/>
  <c r="Q94" i="19"/>
  <c r="R94" i="19" s="1"/>
  <c r="Q87" i="19"/>
  <c r="R87" i="19" s="1"/>
  <c r="Q80" i="19"/>
  <c r="R80" i="19" s="1"/>
  <c r="Q79" i="19"/>
  <c r="R79" i="19" s="1"/>
  <c r="Q78" i="19"/>
  <c r="R78" i="19" s="1"/>
  <c r="Q71" i="19"/>
  <c r="R71" i="19" s="1"/>
  <c r="Q64" i="19"/>
  <c r="R64" i="19" s="1"/>
  <c r="Q63" i="19"/>
  <c r="R63" i="19" s="1"/>
  <c r="Q62" i="19"/>
  <c r="R62" i="19" s="1"/>
  <c r="Q55" i="19"/>
  <c r="R55" i="19" s="1"/>
  <c r="Q54" i="19"/>
  <c r="R54" i="19" s="1"/>
  <c r="Q53" i="19"/>
  <c r="R53" i="19" s="1"/>
  <c r="Q45" i="19"/>
  <c r="R45" i="19" s="1"/>
  <c r="Q44" i="19"/>
  <c r="R44" i="19" s="1"/>
  <c r="Q43" i="19"/>
  <c r="R43" i="19" s="1"/>
  <c r="Q42" i="19"/>
  <c r="R42" i="19" s="1"/>
  <c r="Q41" i="19"/>
  <c r="R41" i="19" s="1"/>
  <c r="R31" i="19" l="1"/>
  <c r="Q34" i="19"/>
  <c r="R34" i="19" s="1"/>
  <c r="R28" i="19"/>
  <c r="Q30" i="19"/>
  <c r="O143" i="19"/>
  <c r="R30" i="19" l="1"/>
  <c r="Q36" i="19"/>
  <c r="N104" i="19"/>
  <c r="B104" i="19"/>
  <c r="A104" i="19"/>
  <c r="N53" i="19" l="1"/>
  <c r="N54" i="19"/>
  <c r="N55" i="19"/>
  <c r="S116" i="19" l="1"/>
  <c r="L47" i="26" l="1"/>
  <c r="K47" i="26"/>
  <c r="J47" i="26"/>
  <c r="C8" i="14"/>
  <c r="C9" i="14" s="1"/>
  <c r="C7" i="14"/>
  <c r="S132" i="19"/>
  <c r="S17" i="19" s="1"/>
  <c r="P132" i="19"/>
  <c r="P17" i="19" s="1"/>
  <c r="O132" i="19"/>
  <c r="O17" i="19" s="1"/>
  <c r="M132" i="19"/>
  <c r="M17" i="19" s="1"/>
  <c r="L132" i="19"/>
  <c r="L17" i="19" s="1"/>
  <c r="Q131" i="19"/>
  <c r="R131" i="19" s="1"/>
  <c r="N131" i="19"/>
  <c r="B131" i="19"/>
  <c r="A131" i="19"/>
  <c r="M47" i="19"/>
  <c r="M8" i="19" s="1"/>
  <c r="L47" i="19"/>
  <c r="L8" i="19" s="1"/>
  <c r="M7" i="19"/>
  <c r="L7" i="19"/>
  <c r="B121" i="19"/>
  <c r="A121" i="19"/>
  <c r="B115" i="19"/>
  <c r="A115" i="19"/>
  <c r="B114" i="19"/>
  <c r="A114" i="19"/>
  <c r="B108" i="19"/>
  <c r="A108" i="19"/>
  <c r="B107" i="19"/>
  <c r="A107" i="19"/>
  <c r="B106" i="19"/>
  <c r="A106" i="19"/>
  <c r="B105" i="19"/>
  <c r="A105" i="19"/>
  <c r="B103" i="19"/>
  <c r="A103" i="19"/>
  <c r="B102" i="19"/>
  <c r="A102" i="19"/>
  <c r="B101" i="19"/>
  <c r="A101" i="19"/>
  <c r="B100" i="19"/>
  <c r="A100" i="19"/>
  <c r="B99" i="19"/>
  <c r="A99" i="19"/>
  <c r="B98" i="19"/>
  <c r="A98" i="19"/>
  <c r="B97" i="19"/>
  <c r="A97" i="19"/>
  <c r="B96" i="19"/>
  <c r="A96" i="19"/>
  <c r="B95" i="19"/>
  <c r="A95" i="19"/>
  <c r="B88" i="19"/>
  <c r="A88" i="19"/>
  <c r="B81" i="19"/>
  <c r="A81" i="19"/>
  <c r="B80" i="19"/>
  <c r="A80" i="19"/>
  <c r="B79" i="19"/>
  <c r="A79" i="19"/>
  <c r="B78" i="19"/>
  <c r="A78" i="19"/>
  <c r="B72" i="19"/>
  <c r="A72" i="19"/>
  <c r="B65" i="19"/>
  <c r="A65" i="19"/>
  <c r="B64" i="19"/>
  <c r="A64" i="19"/>
  <c r="B63" i="19"/>
  <c r="A63" i="19"/>
  <c r="B56" i="19"/>
  <c r="A56" i="19"/>
  <c r="B55" i="19"/>
  <c r="A55" i="19"/>
  <c r="B54" i="19"/>
  <c r="A54" i="19"/>
  <c r="B46" i="19"/>
  <c r="A46" i="19"/>
  <c r="B45" i="19"/>
  <c r="A45" i="19"/>
  <c r="B44" i="19"/>
  <c r="A44" i="19"/>
  <c r="B43" i="19"/>
  <c r="A43" i="19"/>
  <c r="B42" i="19"/>
  <c r="A42" i="19"/>
  <c r="B41" i="19"/>
  <c r="A41" i="19"/>
  <c r="P66" i="19"/>
  <c r="P10" i="19" s="1"/>
  <c r="M82" i="19"/>
  <c r="M12" i="19" s="1"/>
  <c r="O82" i="19"/>
  <c r="O12" i="19" s="1"/>
  <c r="P82" i="19"/>
  <c r="P12" i="19" s="1"/>
  <c r="S82" i="19"/>
  <c r="S12" i="19" s="1"/>
  <c r="L82" i="19"/>
  <c r="L12" i="19" s="1"/>
  <c r="E7" i="14"/>
  <c r="N122" i="19"/>
  <c r="N121" i="19"/>
  <c r="N115" i="19"/>
  <c r="N114" i="19"/>
  <c r="N108" i="19"/>
  <c r="N107" i="19"/>
  <c r="N106" i="19"/>
  <c r="N105" i="19"/>
  <c r="N103" i="19"/>
  <c r="N102" i="19"/>
  <c r="N101" i="19"/>
  <c r="N100" i="19"/>
  <c r="N99" i="19"/>
  <c r="N98" i="19"/>
  <c r="N97" i="19"/>
  <c r="N96" i="19"/>
  <c r="N95" i="19"/>
  <c r="N94" i="19"/>
  <c r="N88" i="19"/>
  <c r="N87" i="19"/>
  <c r="N81" i="19"/>
  <c r="N80" i="19"/>
  <c r="N79" i="19"/>
  <c r="N78" i="19"/>
  <c r="N72" i="19"/>
  <c r="N71" i="19"/>
  <c r="N64" i="19"/>
  <c r="N63" i="19"/>
  <c r="N62" i="19"/>
  <c r="Q122" i="19"/>
  <c r="R122" i="19" s="1"/>
  <c r="Q115" i="19"/>
  <c r="R115" i="19" s="1"/>
  <c r="Q88" i="19"/>
  <c r="R88" i="19" s="1"/>
  <c r="Q81" i="19"/>
  <c r="R81" i="19" s="1"/>
  <c r="Q72" i="19"/>
  <c r="R72" i="19" s="1"/>
  <c r="Q65" i="19"/>
  <c r="R65" i="19" s="1"/>
  <c r="N65" i="19"/>
  <c r="N56" i="19"/>
  <c r="Q56" i="19"/>
  <c r="R56" i="19" s="1"/>
  <c r="N42" i="19"/>
  <c r="N43" i="19"/>
  <c r="N44" i="19"/>
  <c r="N45" i="19"/>
  <c r="N46" i="19"/>
  <c r="Q46" i="19"/>
  <c r="R46" i="19" s="1"/>
  <c r="E8" i="14"/>
  <c r="B46" i="26"/>
  <c r="B45" i="26"/>
  <c r="B44" i="26"/>
  <c r="B43" i="26"/>
  <c r="B42" i="26"/>
  <c r="B41" i="26"/>
  <c r="B40" i="26"/>
  <c r="B39" i="26"/>
  <c r="B38" i="26"/>
  <c r="B37" i="26"/>
  <c r="B36" i="26"/>
  <c r="B31" i="26"/>
  <c r="B30" i="26"/>
  <c r="B29" i="26"/>
  <c r="B28" i="26"/>
  <c r="B27" i="26"/>
  <c r="B26" i="26"/>
  <c r="E139" i="19"/>
  <c r="E140" i="19"/>
  <c r="E141" i="19"/>
  <c r="E142" i="19"/>
  <c r="E143" i="19"/>
  <c r="E138" i="19"/>
  <c r="N35" i="19"/>
  <c r="N33" i="19"/>
  <c r="N32" i="19"/>
  <c r="N31" i="19"/>
  <c r="N29" i="19"/>
  <c r="N30" i="19" s="1"/>
  <c r="N41" i="19"/>
  <c r="L109" i="19"/>
  <c r="L14" i="19" s="1"/>
  <c r="Q108" i="19"/>
  <c r="R108" i="19" s="1"/>
  <c r="P73" i="19"/>
  <c r="P11" i="19" s="1"/>
  <c r="O66" i="19"/>
  <c r="O10" i="19" s="1"/>
  <c r="Q35" i="19"/>
  <c r="R35" i="19" s="1"/>
  <c r="L66" i="19"/>
  <c r="L10" i="19" s="1"/>
  <c r="M66" i="19"/>
  <c r="M10" i="19" s="1"/>
  <c r="A35" i="19"/>
  <c r="B35" i="19"/>
  <c r="S7" i="19"/>
  <c r="S47" i="19"/>
  <c r="S8" i="19" s="1"/>
  <c r="S57" i="19"/>
  <c r="S9" i="19" s="1"/>
  <c r="S10" i="19"/>
  <c r="S73" i="19"/>
  <c r="S11" i="19" s="1"/>
  <c r="S89" i="19"/>
  <c r="S13" i="19" s="1"/>
  <c r="S109" i="19"/>
  <c r="S14" i="19" s="1"/>
  <c r="O116" i="19"/>
  <c r="O15" i="19" s="1"/>
  <c r="P116" i="19"/>
  <c r="P15" i="19" s="1"/>
  <c r="S123" i="19"/>
  <c r="S16"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43" i="19"/>
  <c r="Q142" i="19"/>
  <c r="Q141" i="19"/>
  <c r="Q140" i="19"/>
  <c r="Q139" i="19"/>
  <c r="Q138" i="19"/>
  <c r="M73" i="19"/>
  <c r="M11" i="19" s="1"/>
  <c r="C3" i="14"/>
  <c r="C4" i="14"/>
  <c r="B4" i="14"/>
  <c r="B3" i="14"/>
  <c r="B143" i="19"/>
  <c r="A143" i="19"/>
  <c r="B142" i="19"/>
  <c r="A142" i="19"/>
  <c r="B141" i="19"/>
  <c r="A141" i="19"/>
  <c r="B140" i="19"/>
  <c r="A140" i="19"/>
  <c r="B139" i="19"/>
  <c r="A139" i="19"/>
  <c r="B138" i="19"/>
  <c r="A138" i="19"/>
  <c r="P144" i="19"/>
  <c r="O144" i="19"/>
  <c r="N144" i="19"/>
  <c r="B94" i="19"/>
  <c r="A94" i="19"/>
  <c r="B33" i="19"/>
  <c r="A33" i="19"/>
  <c r="B32" i="19"/>
  <c r="A32" i="19"/>
  <c r="B31" i="19"/>
  <c r="A31" i="19"/>
  <c r="B29" i="19"/>
  <c r="A29" i="19"/>
  <c r="B87" i="19"/>
  <c r="A87" i="19"/>
  <c r="B71" i="19"/>
  <c r="A71" i="19"/>
  <c r="B62" i="19"/>
  <c r="A62" i="19"/>
  <c r="B53" i="19"/>
  <c r="A53" i="19"/>
  <c r="B40" i="19"/>
  <c r="A40" i="19"/>
  <c r="B28" i="19"/>
  <c r="A28" i="19"/>
  <c r="L57" i="19"/>
  <c r="L9" i="19" s="1"/>
  <c r="L89" i="19"/>
  <c r="L13" i="19" s="1"/>
  <c r="L116" i="19"/>
  <c r="L15" i="19" s="1"/>
  <c r="L123" i="19"/>
  <c r="L16" i="19" s="1"/>
  <c r="M57" i="19"/>
  <c r="M9" i="19" s="1"/>
  <c r="M89" i="19"/>
  <c r="M13" i="19" s="1"/>
  <c r="M109" i="19"/>
  <c r="M14" i="19" s="1"/>
  <c r="M116" i="19"/>
  <c r="M15" i="19" s="1"/>
  <c r="M123" i="19"/>
  <c r="M16" i="19" s="1"/>
  <c r="N130" i="19"/>
  <c r="B130" i="19"/>
  <c r="A130" i="19"/>
  <c r="P123" i="19"/>
  <c r="P16" i="19" s="1"/>
  <c r="O123" i="19"/>
  <c r="O16" i="19" s="1"/>
  <c r="B122" i="19"/>
  <c r="A122" i="19"/>
  <c r="P109" i="19"/>
  <c r="P14" i="19" s="1"/>
  <c r="O109" i="19"/>
  <c r="O14" i="19" s="1"/>
  <c r="P89" i="19"/>
  <c r="P13" i="19" s="1"/>
  <c r="O89" i="19"/>
  <c r="O13" i="19" s="1"/>
  <c r="O73" i="19"/>
  <c r="O11" i="19" s="1"/>
  <c r="P57" i="19"/>
  <c r="P9" i="19" s="1"/>
  <c r="O57" i="19"/>
  <c r="O9" i="19" s="1"/>
  <c r="P47" i="19"/>
  <c r="P8" i="19" s="1"/>
  <c r="O47"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73" i="19"/>
  <c r="L11" i="19" s="1"/>
  <c r="N34" i="19" l="1"/>
  <c r="N36" i="19"/>
  <c r="E9" i="14"/>
  <c r="N132" i="19"/>
  <c r="N10" i="19"/>
  <c r="N12" i="19"/>
  <c r="N9" i="19"/>
  <c r="N73" i="19"/>
  <c r="N17" i="19"/>
  <c r="N15" i="19"/>
  <c r="N82" i="19"/>
  <c r="N89" i="19"/>
  <c r="N109" i="19"/>
  <c r="N116" i="19"/>
  <c r="N11" i="19"/>
  <c r="Q144" i="19"/>
  <c r="N8" i="19"/>
  <c r="N14" i="19"/>
  <c r="N16" i="19"/>
  <c r="Q73" i="19"/>
  <c r="Q11" i="19" s="1"/>
  <c r="R11" i="19" s="1"/>
  <c r="L134" i="19"/>
  <c r="O134" i="19"/>
  <c r="N13" i="19"/>
  <c r="O18" i="19"/>
  <c r="N7" i="19"/>
  <c r="L18" i="19"/>
  <c r="P18" i="19"/>
  <c r="M18" i="19"/>
  <c r="D12" i="14" s="1"/>
  <c r="N57" i="19"/>
  <c r="N47" i="19"/>
  <c r="Q66" i="19"/>
  <c r="R66" i="19" s="1"/>
  <c r="N66" i="19"/>
  <c r="Q47" i="19"/>
  <c r="R47" i="19" s="1"/>
  <c r="N123" i="19"/>
  <c r="M134" i="19"/>
  <c r="K131" i="19" s="1"/>
  <c r="P134" i="19"/>
  <c r="Q109" i="19"/>
  <c r="R109" i="19" s="1"/>
  <c r="Q132" i="19"/>
  <c r="Q57" i="19"/>
  <c r="R57" i="19" s="1"/>
  <c r="Q82" i="19"/>
  <c r="R82" i="19" s="1"/>
  <c r="Q89" i="19"/>
  <c r="Q13" i="19" s="1"/>
  <c r="R13" i="19" s="1"/>
  <c r="Q116" i="19"/>
  <c r="Q15" i="19" s="1"/>
  <c r="R15" i="19" s="1"/>
  <c r="Q123" i="19"/>
  <c r="R123" i="19" s="1"/>
  <c r="Q7" i="19"/>
  <c r="D14" i="14" l="1"/>
  <c r="C18" i="14" s="1"/>
  <c r="Q12" i="19"/>
  <c r="R12" i="19" s="1"/>
  <c r="R89" i="19"/>
  <c r="C12" i="14"/>
  <c r="G50" i="26"/>
  <c r="Q14" i="19"/>
  <c r="R14" i="19" s="1"/>
  <c r="Q134" i="19"/>
  <c r="R134" i="19" s="1"/>
  <c r="Q8" i="19"/>
  <c r="R8" i="19" s="1"/>
  <c r="R73" i="19"/>
  <c r="R36" i="19"/>
  <c r="R116" i="19"/>
  <c r="Q9" i="19"/>
  <c r="R9" i="19" s="1"/>
  <c r="N134" i="19"/>
  <c r="N18" i="19"/>
  <c r="S15" i="19"/>
  <c r="S18" i="19" s="1"/>
  <c r="S134" i="19"/>
  <c r="Q10" i="19"/>
  <c r="R10" i="19" s="1"/>
  <c r="R132" i="19"/>
  <c r="Q17" i="19"/>
  <c r="R17" i="19" s="1"/>
  <c r="Q16" i="19"/>
  <c r="R16" i="19" s="1"/>
  <c r="R7" i="19"/>
  <c r="C14" i="14" l="1"/>
  <c r="C17" i="14" s="1"/>
  <c r="C20" i="14" s="1"/>
  <c r="D20" i="14" s="1"/>
  <c r="E12" i="14"/>
  <c r="H50" i="26"/>
  <c r="Q18" i="19"/>
  <c r="R18" i="19" s="1"/>
  <c r="D18" i="14" l="1"/>
  <c r="D17" i="14"/>
  <c r="E14" i="14"/>
  <c r="E17" i="14" s="1"/>
  <c r="F17" i="14" s="1"/>
  <c r="G15" i="19"/>
  <c r="G16" i="19" s="1"/>
  <c r="F12" i="14"/>
  <c r="F14" i="14" l="1"/>
  <c r="E18" i="14" s="1"/>
  <c r="F18" i="14" s="1"/>
  <c r="E20" i="14" l="1"/>
  <c r="R144" i="19"/>
  <c r="S144" i="19" s="1"/>
  <c r="F20" i="14"/>
</calcChain>
</file>

<file path=xl/sharedStrings.xml><?xml version="1.0" encoding="utf-8"?>
<sst xmlns="http://schemas.openxmlformats.org/spreadsheetml/2006/main" count="599" uniqueCount="258">
  <si>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</si>
  <si>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</si>
  <si>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</si>
  <si>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</si>
  <si>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</si>
  <si>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</si>
  <si>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</si>
  <si>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</si>
  <si>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</si>
  <si>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</si>
  <si>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</si>
  <si>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</si>
  <si>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</si>
  <si>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</si>
  <si>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</si>
  <si>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</si>
  <si>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</si>
  <si>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</si>
  <si>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</si>
  <si>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</si>
  <si>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</si>
  <si>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</si>
  <si>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</si>
  <si>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</si>
  <si>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</si>
  <si>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</si>
  <si>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</si>
  <si>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</si>
  <si>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</si>
  <si>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</si>
  <si>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</si>
  <si>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</si>
  <si>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</si>
  <si>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</si>
  <si>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</si>
  <si>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</si>
  <si>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</si>
  <si>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</si>
  <si>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</si>
  <si>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</si>
  <si>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</si>
  <si>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</si>
  <si>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</si>
  <si>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</si>
  <si>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</si>
  <si>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</si>
  <si>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</si>
  <si>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</si>
  <si>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</si>
  <si>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</si>
  <si>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</si>
  <si>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</si>
  <si>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</si>
  <si>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</si>
  <si>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</si>
  <si>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</si>
  <si>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</si>
  <si>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</si>
  <si>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</si>
  <si>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</si>
  <si>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YEAR-END
 TOTAL PROGRAM EXPEND.</t>
  </si>
  <si>
    <t>1A. Staff Salaries</t>
  </si>
  <si>
    <t>AGENCY NAME:</t>
  </si>
  <si>
    <t>WISE &amp; Healthy Aging</t>
  </si>
  <si>
    <t>1B. Staff Fringe Benefits</t>
  </si>
  <si>
    <t>PROGRAM NAME:</t>
  </si>
  <si>
    <t>Peer Counseling</t>
  </si>
  <si>
    <t>1C. Consultant Services</t>
  </si>
  <si>
    <t>2.   Space/Facilities</t>
  </si>
  <si>
    <t>3.   Equipment Purchase</t>
  </si>
  <si>
    <t>REPORTING PERIOD:</t>
  </si>
  <si>
    <t>Year-End Report (2nd Period): 1/1/21 - 6/30/21</t>
  </si>
  <si>
    <t>4.   Travel/Training</t>
  </si>
  <si>
    <t>5.   Insurance</t>
  </si>
  <si>
    <t>FY 2019-20 Rollover</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</si>
  <si>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</si>
  <si>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</si>
  <si>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</si>
  <si>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</si>
  <si>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</si>
  <si>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</si>
  <si>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</si>
  <si>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</si>
  <si>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</si>
  <si>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</si>
  <si>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</si>
  <si>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</si>
  <si>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</si>
  <si>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</si>
  <si>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</si>
  <si>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Brandi Orton</t>
  </si>
  <si>
    <t>VP of Member Services</t>
  </si>
  <si>
    <t>Administrative Support</t>
  </si>
  <si>
    <t>Danielle Brinney</t>
  </si>
  <si>
    <t>Administration &amp; Technology Svc</t>
  </si>
  <si>
    <t>Miriam Caiden</t>
  </si>
  <si>
    <t>Master Trainer &amp; Lead Educator</t>
  </si>
  <si>
    <t xml:space="preserve">Direct Service Provision/Program Staff </t>
  </si>
  <si>
    <t>Doreen Klee</t>
  </si>
  <si>
    <t>Clinical Co-Director</t>
  </si>
  <si>
    <t>Daniel Sussman</t>
  </si>
  <si>
    <t>1A.  Staff Salaries TOTAL</t>
  </si>
  <si>
    <t>1B.  Staff Fringe Benefits</t>
  </si>
  <si>
    <t>List each fringe benefit as a percentage of total staff salaries listed above (FICA, SUI, Workers’ Compensation, Medical Insurance, Retirement, etc.).</t>
  </si>
  <si>
    <t>Description</t>
  </si>
  <si>
    <t>FICA -7.65% of Gross Salary</t>
  </si>
  <si>
    <t>Worker's Compensation - 1.10% of Gross Salary</t>
  </si>
  <si>
    <t>SUI - 2% based on direct charges</t>
  </si>
  <si>
    <t>Health Benefits - 7% of Gross Salary</t>
  </si>
  <si>
    <t>Retirement Benefits - .5% of Gross Salary</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</si>
  <si>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</si>
  <si>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</si>
  <si>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</si>
  <si>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</si>
  <si>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$118.847 /month  (rate 69.91 X 1.70 FTE =118.847)  X  12 months =1,426  annuually</t>
  </si>
  <si>
    <t>Payroll - $37.825/month (rate 1.30 X 1.70 FTE =37.825)  X 12 months = $454 annually</t>
  </si>
  <si>
    <t>Contractors General - Contracted services to support the program.  $36,00/year ($3,000/month x 12 months)</t>
  </si>
  <si>
    <t>1C.  Consultant Services TOTAL</t>
  </si>
  <si>
    <t>2.  Space/Facilities</t>
  </si>
  <si>
    <t>List any rental costs, utilities, janitorial costs, and any other facility costs.</t>
  </si>
  <si>
    <t>Rent - $10,174.00/month  X  4.43% X 12 months  (% based on square footage)</t>
  </si>
  <si>
    <t>Security - $1,078.25/month  X 4.43% X 12 months (% based on square footage)</t>
  </si>
  <si>
    <t>Janitorial - $1,950/month  X  4.43%, X 12 months   (% based on square footage)</t>
  </si>
  <si>
    <t>2.  Space/Facilities TOTAL</t>
  </si>
  <si>
    <t>3.  Equipment Purchase</t>
  </si>
  <si>
    <t>Equipment is defined as non-expendable personal property having a useful life of more than one year and a unit cost of $1,000 or more. List each item to be leased, rented or purchased.</t>
  </si>
  <si>
    <t>3.  Equipment Purchase TOTAL</t>
  </si>
  <si>
    <t>4.  Travel/Training</t>
  </si>
  <si>
    <t>List any trainings/seminars/conferences to be attended and include any amounts for travel, per diem, lodging, etc. For mileage, include mileage reimbursement rate in calculation.</t>
  </si>
  <si>
    <t>Local Travel - based on mileage reimbursement  (800 @ .58 per mile = 464)</t>
  </si>
  <si>
    <t>Out of Town Travel - Conference &amp; Training ($250/ 1 trip for 1 staff)</t>
  </si>
  <si>
    <t>Staff Training - (Volunteer training $246 per year $20.50/month)</t>
  </si>
  <si>
    <t>4.  Travel/Training TOTAL</t>
  </si>
  <si>
    <t>5.  Insurance</t>
  </si>
  <si>
    <t>Insurance coverage should align with City contract provisions.</t>
  </si>
  <si>
    <t xml:space="preserve">Insurance -  $71.79 /month (rate $42.23 X 1.70 FTE= $71.79)   X  12 months = $861 annually </t>
  </si>
  <si>
    <t>5.  Insurance TOTAL</t>
  </si>
  <si>
    <t>6.  Operating Expenses</t>
  </si>
  <si>
    <t xml:space="preserve">List all operating expenses [e.g., telephone, utilities, office supplies, printing, annual agency financial audit (required by the contract), etc.] included in the Total Program Budget. </t>
  </si>
  <si>
    <t>Office Supplies -  $4,800/Year  ($400/Month x 12 months)</t>
  </si>
  <si>
    <t>Program Supplies -  $12,000/Year  ($1,000/Month x 12 months)</t>
  </si>
  <si>
    <t>Telephone -$90.76/Month (rate $53.39 X 1.70 FTE = $90.76)  X  12 months = $1,089 annually</t>
  </si>
  <si>
    <t>Postage &amp; Shipping - $1,200 /Year    ($100/ Month  x 12 months)</t>
  </si>
  <si>
    <t>Copier Costs - $300/Year   ($25/Month  x 12 months)</t>
  </si>
  <si>
    <t>Printing Cost - $12,000/Year ($1,000 Month x 12 months)</t>
  </si>
  <si>
    <t>Advertising -  $15,000/Year  ($1,250/Month  x 12 months)</t>
  </si>
  <si>
    <t>Membership Dues - annual renewal $2,500</t>
  </si>
  <si>
    <t>Hiring Fees -  $561/Year  ($46.75/Month x 12 months)</t>
  </si>
  <si>
    <t>Conference Registration   - $350/Year ($29.17/Month x 12 months)</t>
  </si>
  <si>
    <t>License/Service Fees $4,458</t>
  </si>
  <si>
    <t>Meeting Costs - $625/Year  ($52.08/Month  x 12 months)</t>
  </si>
  <si>
    <t>Staff Recognition - $120/Year  ($10/Month  x 12 months)</t>
  </si>
  <si>
    <t>Volunteer Recognition - $2,424/Year ($202/Month x 12 months)</t>
  </si>
  <si>
    <t>6.  Operating Expenses TOTAL</t>
  </si>
  <si>
    <t>7.  Scholarships/Stipends</t>
  </si>
  <si>
    <t>List any scholarships or stipends, and include: number of recipients, maximum amount per recipient, and basis for computation.</t>
  </si>
  <si>
    <t>7.  Scholarships/Stipends TOTAL</t>
  </si>
  <si>
    <t>8.  Other</t>
  </si>
  <si>
    <t>List any program expense not appropriate for any of the above line items and provide justification.</t>
  </si>
  <si>
    <t>8.  Other TOTAL</t>
  </si>
  <si>
    <t>9.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</si>
  <si>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</si>
  <si>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</si>
  <si>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</si>
  <si>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</si>
  <si>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</si>
  <si>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</si>
  <si>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</si>
  <si>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</si>
  <si>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</si>
  <si>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</si>
  <si>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</si>
  <si>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</si>
  <si>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</si>
  <si>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</si>
  <si>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</si>
  <si>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</si>
  <si>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</si>
  <si>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</si>
  <si>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</si>
  <si>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WISE Reserves &amp; Other Resources</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</si>
  <si>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</si>
  <si>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</si>
  <si>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</si>
  <si>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</si>
  <si>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</si>
  <si>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</si>
  <si>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</si>
  <si>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</si>
  <si>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</si>
  <si>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</si>
  <si>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</si>
  <si>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</si>
  <si>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</si>
  <si>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</si>
  <si>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</si>
  <si>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</si>
  <si>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</si>
  <si>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</si>
  <si>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</si>
  <si>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</si>
  <si>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</si>
  <si>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</si>
  <si>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</si>
  <si>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</si>
  <si>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</si>
  <si>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</si>
  <si>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</si>
  <si>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</si>
  <si>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</si>
  <si>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</si>
  <si>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</si>
  <si>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</si>
  <si>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</si>
  <si>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</si>
  <si>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</si>
  <si>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</si>
  <si>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</si>
  <si>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</si>
  <si>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</si>
  <si>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</si>
  <si>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</si>
  <si>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</si>
  <si>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</si>
  <si>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</si>
  <si>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</si>
  <si>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</si>
  <si>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</si>
  <si>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</si>
  <si>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</si>
  <si>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</si>
  <si>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</si>
  <si>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</si>
  <si>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</si>
  <si>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</si>
  <si>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</si>
  <si>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</si>
  <si>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</si>
  <si>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</si>
  <si>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</si>
  <si>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</si>
  <si>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</si>
  <si>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</si>
  <si>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</si>
  <si>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</si>
  <si>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</si>
  <si>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</si>
  <si>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</si>
  <si>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Less: Onetime FY 2019-20 Carryover*</t>
  </si>
  <si>
    <t>Program Expenditures (Adjusted)</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</si>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</sst>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val="singleAccounting"/>
      <sz val="11"/>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303">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2" borderId="12" xfId="3" applyFont="1" applyFill="1" applyBorder="1" applyProtection="1"/>
    <xf numFmtId="0" fontId="2" fillId="12" borderId="17" xfId="3" applyFont="1" applyFill="1" applyBorder="1" applyProtection="1"/>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0" fontId="1" fillId="12" borderId="22" xfId="0"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0" fontId="1" fillId="12" borderId="23" xfId="0"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1" fillId="12" borderId="32" xfId="0" applyFont="1" applyFill="1" applyBorder="1" applyAlignment="1" applyProtection="1">
      <alignment horizontal="left" vertical="top"/>
    </xf>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31" xfId="3" applyFont="1" applyFill="1" applyBorder="1" applyAlignment="1" applyProtection="1">
      <alignment horizontal="left" vertical="top"/>
    </xf>
    <xf numFmtId="0" fontId="1" fillId="12" borderId="31" xfId="3" applyFont="1" applyFill="1" applyBorder="1" applyAlignment="1" applyProtection="1">
      <alignment horizontal="left" vertical="top" wrapText="1"/>
    </xf>
    <xf numFmtId="164" fontId="1" fillId="12" borderId="23"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0" fontId="4" fillId="12" borderId="16" xfId="3" applyFont="1" applyFill="1" applyBorder="1" applyAlignment="1" applyProtection="1">
      <alignment horizontal="center" vertical="center" wrapText="1"/>
    </xf>
    <xf numFmtId="0" fontId="21" fillId="4" borderId="52" xfId="3" applyFont="1" applyFill="1" applyBorder="1" applyAlignment="1" applyProtection="1">
      <alignment horizontal="center" vertical="center"/>
    </xf>
    <xf numFmtId="44" fontId="4" fillId="12" borderId="16" xfId="2" applyFont="1" applyFill="1" applyBorder="1" applyAlignment="1" applyProtection="1">
      <alignment horizontal="center" vertical="center" wrapText="1"/>
    </xf>
    <xf numFmtId="0" fontId="4" fillId="12" borderId="54" xfId="3" applyFont="1" applyFill="1" applyBorder="1" applyAlignment="1" applyProtection="1">
      <alignment horizontal="center" vertical="center"/>
    </xf>
    <xf numFmtId="1" fontId="4" fillId="12"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4" borderId="16" xfId="3" applyFont="1" applyFill="1" applyBorder="1" applyAlignment="1" applyProtection="1">
      <alignment horizontal="left" vertical="center" wrapText="1"/>
    </xf>
    <xf numFmtId="44" fontId="1" fillId="0" borderId="12" xfId="2" applyFont="1" applyFill="1" applyBorder="1" applyProtection="1"/>
    <xf numFmtId="44" fontId="15" fillId="12" borderId="23" xfId="2" applyFont="1" applyFill="1" applyBorder="1" applyProtection="1"/>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3" xfId="3" applyFont="1" applyFill="1" applyBorder="1" applyAlignment="1" applyProtection="1">
      <alignment horizontal="center" vertical="center"/>
    </xf>
    <xf numFmtId="0" fontId="4" fillId="0" borderId="0" xfId="3" applyFont="1" applyAlignment="1" applyProtection="1">
      <alignment vertical="center"/>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0" fontId="1" fillId="0" borderId="8" xfId="3" applyBorder="1" applyProtection="1"/>
    <xf numFmtId="44" fontId="1" fillId="6" borderId="12" xfId="2"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44" fontId="1" fillId="6" borderId="24" xfId="2" applyFont="1" applyFill="1" applyBorder="1" applyProtection="1"/>
    <xf numFmtId="0" fontId="1" fillId="12" borderId="31" xfId="3" applyFill="1" applyBorder="1" applyAlignment="1" applyProtection="1">
      <alignment horizontal="left" vertical="top" wrapText="1"/>
    </xf>
    <xf numFmtId="44" fontId="1" fillId="6" borderId="29" xfId="2" applyFont="1" applyFill="1" applyBorder="1" applyProtection="1"/>
    <xf numFmtId="0" fontId="1" fillId="12" borderId="28" xfId="2" applyNumberFormat="1" applyFont="1" applyFill="1" applyBorder="1" applyProtection="1"/>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164" fontId="1" fillId="6" borderId="33" xfId="2" applyNumberFormat="1" applyFont="1" applyFill="1" applyBorder="1" applyProtection="1"/>
    <xf numFmtId="9" fontId="2" fillId="0" borderId="14" xfId="5" applyFont="1" applyFill="1" applyBorder="1" applyAlignment="1" applyProtection="1">
      <alignment horizontal="center"/>
    </xf>
    <xf numFmtId="0" fontId="1" fillId="0" borderId="0" xfId="3" applyFont="1" applyFill="1" applyBorder="1" applyProtection="1">
      <protection locked="0"/>
    </xf>
    <xf numFmtId="0" fontId="11" fillId="0" borderId="0" xfId="3" applyFont="1" applyFill="1" applyBorder="1" applyProtection="1">
      <protection locked="0"/>
    </xf>
    <xf numFmtId="0" fontId="1" fillId="0" borderId="0" xfId="0" applyFont="1" applyProtection="1">
      <protection locked="0"/>
    </xf>
    <xf numFmtId="0" fontId="1" fillId="0" borderId="0" xfId="3" applyFont="1" applyFill="1" applyBorder="1" applyAlignment="1" applyProtection="1">
      <protection locked="0"/>
    </xf>
    <xf numFmtId="0" fontId="4" fillId="7" borderId="8" xfId="3" applyFont="1" applyFill="1" applyBorder="1"/>
    <xf numFmtId="164" fontId="28" fillId="7" borderId="0" xfId="2" applyNumberFormat="1" applyFont="1" applyFill="1" applyBorder="1" applyAlignment="1" applyProtection="1">
      <alignment horizontal="right"/>
    </xf>
    <xf numFmtId="164" fontId="28" fillId="7" borderId="7" xfId="2" applyNumberFormat="1" applyFont="1" applyFill="1" applyBorder="1" applyAlignment="1" applyProtection="1">
      <alignment horizontal="right"/>
    </xf>
    <xf numFmtId="0" fontId="4" fillId="7" borderId="6" xfId="3" applyFont="1" applyFill="1" applyBorder="1" applyProtection="1"/>
    <xf numFmtId="164" fontId="4" fillId="3" borderId="5" xfId="2" applyNumberFormat="1" applyFont="1" applyFill="1" applyBorder="1" applyAlignment="1" applyProtection="1">
      <alignment horizontal="center"/>
    </xf>
    <xf numFmtId="165" fontId="4" fillId="3" borderId="5" xfId="3" applyNumberFormat="1" applyFont="1" applyFill="1" applyBorder="1" applyAlignment="1" applyProtection="1">
      <alignment horizontal="center"/>
    </xf>
    <xf numFmtId="164" fontId="4" fillId="7" borderId="5" xfId="2" applyNumberFormat="1" applyFont="1" applyFill="1" applyBorder="1" applyAlignment="1" applyProtection="1">
      <alignment horizontal="center"/>
    </xf>
    <xf numFmtId="165" fontId="4" fillId="3" borderId="4" xfId="3" applyNumberFormat="1" applyFont="1" applyFill="1" applyBorder="1" applyAlignment="1" applyProtection="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43" fontId="2" fillId="4" borderId="46" xfId="3" applyNumberFormat="1" applyFont="1" applyFill="1" applyBorder="1" applyAlignment="1" applyProtection="1">
      <alignment horizontal="center"/>
    </xf>
    <xf numFmtId="0" fontId="1" fillId="0" borderId="0" xfId="3" applyAlignment="1">
      <alignment horizontal="left" vertical="center" wrapText="1"/>
    </xf>
    <xf numFmtId="0" fontId="17" fillId="11"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98" t="s">
        <v>0</v>
      </c>
      <c r="B1" s="298"/>
      <c r="C1" s="298"/>
    </row>
    <row r="2" spans="1:3" ht="18" x14ac:dyDescent="0.25">
      <c r="A2" s="298" t="s">
        <v>1</v>
      </c>
      <c r="B2" s="298"/>
      <c r="C2" s="298"/>
    </row>
    <row r="3" spans="1:3" s="63" customFormat="1" ht="13.5" thickBot="1" x14ac:dyDescent="0.25">
      <c r="A3" s="1"/>
      <c r="B3" s="1"/>
      <c r="C3" s="1"/>
    </row>
    <row r="4" spans="1:3" s="116" customFormat="1" ht="15.75" thickBot="1" x14ac:dyDescent="0.25">
      <c r="A4" s="121" t="s">
        <v>2</v>
      </c>
      <c r="B4" s="120" t="s">
        <v>3</v>
      </c>
      <c r="C4" s="120" t="s">
        <v>4</v>
      </c>
    </row>
    <row r="5" spans="1:3" s="116" customFormat="1" ht="29.25" thickBot="1" x14ac:dyDescent="0.25">
      <c r="A5" s="119" t="s">
        <v>5</v>
      </c>
      <c r="B5" s="118" t="s">
        <v>6</v>
      </c>
      <c r="C5" s="117">
        <v>44228</v>
      </c>
    </row>
    <row r="6" spans="1:3" s="116" customFormat="1" ht="29.25" thickBot="1" x14ac:dyDescent="0.25">
      <c r="A6" s="119" t="s">
        <v>7</v>
      </c>
      <c r="B6" s="118" t="s">
        <v>8</v>
      </c>
      <c r="C6" s="117">
        <v>44410</v>
      </c>
    </row>
    <row r="7" spans="1:3" s="116" customFormat="1" x14ac:dyDescent="0.2">
      <c r="A7" s="1"/>
      <c r="B7" s="1"/>
      <c r="C7" s="1"/>
    </row>
    <row r="8" spans="1:3" s="116" customFormat="1" ht="17.25" customHeight="1" x14ac:dyDescent="0.2">
      <c r="A8" s="297" t="s">
        <v>9</v>
      </c>
      <c r="B8" s="297"/>
      <c r="C8" s="297"/>
    </row>
    <row r="9" spans="1:3" s="116" customFormat="1" ht="74.25" customHeight="1" x14ac:dyDescent="0.2">
      <c r="A9" s="296" t="s">
        <v>10</v>
      </c>
      <c r="B9" s="296"/>
      <c r="C9" s="296"/>
    </row>
    <row r="10" spans="1:3" s="116" customFormat="1" ht="45.75" customHeight="1" x14ac:dyDescent="0.2">
      <c r="A10" s="296" t="s">
        <v>11</v>
      </c>
      <c r="B10" s="296"/>
      <c r="C10" s="296"/>
    </row>
    <row r="11" spans="1:3" s="116" customFormat="1" ht="57" customHeight="1" x14ac:dyDescent="0.2">
      <c r="A11" s="296" t="s">
        <v>12</v>
      </c>
      <c r="B11" s="296"/>
      <c r="C11" s="296"/>
    </row>
    <row r="12" spans="1:3" s="116" customFormat="1" ht="11.25" customHeight="1" x14ac:dyDescent="0.2">
      <c r="A12" s="296"/>
      <c r="B12" s="296"/>
      <c r="C12" s="296"/>
    </row>
    <row r="13" spans="1:3" s="116" customFormat="1" ht="15" customHeight="1" x14ac:dyDescent="0.2">
      <c r="A13" s="297" t="s">
        <v>13</v>
      </c>
      <c r="B13" s="297"/>
      <c r="C13" s="297"/>
    </row>
    <row r="14" spans="1:3" s="116" customFormat="1" ht="65.25" customHeight="1" x14ac:dyDescent="0.2">
      <c r="A14" s="296" t="s">
        <v>14</v>
      </c>
      <c r="B14" s="296"/>
      <c r="C14" s="296"/>
    </row>
    <row r="15" spans="1:3" s="58" customFormat="1" ht="50.25" customHeight="1" x14ac:dyDescent="0.2">
      <c r="A15" s="296" t="s">
        <v>15</v>
      </c>
      <c r="B15" s="296"/>
      <c r="C15" s="296"/>
    </row>
    <row r="16" spans="1:3" s="116" customFormat="1" x14ac:dyDescent="0.2">
      <c r="A16" s="296"/>
      <c r="B16" s="296"/>
      <c r="C16" s="296"/>
    </row>
    <row r="17" spans="1:3" s="116" customFormat="1" ht="16.5" customHeight="1" x14ac:dyDescent="0.2">
      <c r="A17" s="300" t="s">
        <v>16</v>
      </c>
      <c r="B17" s="300"/>
      <c r="C17" s="300"/>
    </row>
    <row r="18" spans="1:3" s="116" customFormat="1" ht="30.75" customHeight="1" x14ac:dyDescent="0.2">
      <c r="A18" s="299" t="s">
        <v>17</v>
      </c>
      <c r="B18" s="299"/>
      <c r="C18" s="299"/>
    </row>
    <row r="19" spans="1:3" s="116" customFormat="1" ht="30" customHeight="1" x14ac:dyDescent="0.2">
      <c r="A19" s="299" t="s">
        <v>18</v>
      </c>
      <c r="B19" s="299"/>
      <c r="C19" s="299"/>
    </row>
    <row r="20" spans="1:3" s="58" customFormat="1" ht="24.75" customHeight="1" x14ac:dyDescent="0.2">
      <c r="A20" s="299" t="s">
        <v>19</v>
      </c>
      <c r="B20" s="299"/>
      <c r="C20" s="299"/>
    </row>
    <row r="21" spans="1:3" s="116" customFormat="1" ht="30" customHeight="1" x14ac:dyDescent="0.2">
      <c r="A21" s="299" t="s">
        <v>20</v>
      </c>
      <c r="B21" s="299"/>
      <c r="C21" s="299"/>
    </row>
    <row r="22" spans="1:3" s="116" customFormat="1" x14ac:dyDescent="0.2">
      <c r="A22" s="296"/>
      <c r="B22" s="296"/>
      <c r="C22" s="296"/>
    </row>
    <row r="23" spans="1:3" s="116" customFormat="1" ht="12.75" customHeight="1" x14ac:dyDescent="0.2">
      <c r="A23" s="300" t="s">
        <v>21</v>
      </c>
      <c r="B23" s="300"/>
      <c r="C23" s="300"/>
    </row>
    <row r="24" spans="1:3" s="58" customFormat="1" ht="156.75" customHeight="1" x14ac:dyDescent="0.2">
      <c r="A24" s="299" t="s">
        <v>22</v>
      </c>
      <c r="B24" s="299"/>
      <c r="C24" s="299"/>
    </row>
    <row r="25" spans="1:3" s="116" customFormat="1" ht="160.5" customHeight="1" x14ac:dyDescent="0.2">
      <c r="A25" s="299" t="s">
        <v>23</v>
      </c>
      <c r="B25" s="299"/>
      <c r="C25" s="299"/>
    </row>
    <row r="26" spans="1:3" s="116" customFormat="1" x14ac:dyDescent="0.2">
      <c r="A26" s="296"/>
      <c r="B26" s="296"/>
      <c r="C26" s="296"/>
    </row>
    <row r="27" spans="1:3" s="116" customFormat="1" x14ac:dyDescent="0.2">
      <c r="A27" s="300" t="s">
        <v>24</v>
      </c>
      <c r="B27" s="300"/>
      <c r="C27" s="300"/>
    </row>
    <row r="28" spans="1:3" s="116" customFormat="1" ht="54" customHeight="1" x14ac:dyDescent="0.2">
      <c r="A28" s="299" t="s">
        <v>25</v>
      </c>
      <c r="B28" s="299"/>
      <c r="C28" s="299"/>
    </row>
    <row r="29" spans="1:3" ht="55.5" customHeight="1" x14ac:dyDescent="0.2">
      <c r="A29" s="299" t="s">
        <v>26</v>
      </c>
      <c r="B29" s="299"/>
      <c r="C29" s="299"/>
    </row>
    <row r="30" spans="1:3" s="116" customFormat="1" x14ac:dyDescent="0.2">
      <c r="A30" s="296"/>
      <c r="B30" s="296"/>
      <c r="C30" s="296"/>
    </row>
    <row r="31" spans="1:3" s="116" customFormat="1" x14ac:dyDescent="0.2">
      <c r="A31" s="297" t="s">
        <v>27</v>
      </c>
      <c r="B31" s="297"/>
      <c r="C31" s="297"/>
    </row>
    <row r="32" spans="1:3" s="116" customFormat="1" ht="43.5" customHeight="1" x14ac:dyDescent="0.2">
      <c r="A32" s="296" t="s">
        <v>28</v>
      </c>
      <c r="B32" s="296"/>
      <c r="C32" s="296"/>
    </row>
    <row r="33" spans="1:3" s="116" customFormat="1" x14ac:dyDescent="0.2">
      <c r="A33" s="1"/>
      <c r="B33" s="1"/>
      <c r="C33" s="1"/>
    </row>
    <row r="34" spans="1:3" s="116" customFormat="1" x14ac:dyDescent="0.2">
      <c r="A34" s="297" t="s">
        <v>29</v>
      </c>
      <c r="B34" s="297"/>
      <c r="C34" s="297"/>
    </row>
    <row r="35" spans="1:3" s="116" customFormat="1" ht="54" customHeight="1" x14ac:dyDescent="0.2">
      <c r="A35" s="296" t="s">
        <v>30</v>
      </c>
      <c r="B35" s="296"/>
      <c r="C35" s="296"/>
    </row>
    <row r="36" spans="1:3" x14ac:dyDescent="0.2">
      <c r="A36" s="296"/>
      <c r="B36" s="296"/>
      <c r="C36" s="296"/>
    </row>
  </sheetData>
  <sheetProtection algorithmName="SHA-512" hashValue="y78EzXifv20qOrlN2pT1Kjq6dYXUSYHKxDM45F736qZNeluNi1wsDpFkJaXgsjDlFfd6Ae9bvbEPbsA0iivuJA==" saltValue="FL/XN/aE8ugRts6PQcWmhw=="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X147"/>
  <sheetViews>
    <sheetView showGridLines="0" topLeftCell="F2" zoomScale="80" zoomScaleNormal="80" workbookViewId="0">
      <selection activeCell="F2" sqref="A1:XFD1048576"/>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8.2851562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24" width="8.85546875" style="281"/>
    <col min="25" max="16384" width="8.85546875" style="43"/>
  </cols>
  <sheetData>
    <row r="1" spans="1:19" ht="168.75" hidden="1" outlineLevel="1" x14ac:dyDescent="0.2">
      <c r="A1" s="52" t="s">
        <v>31</v>
      </c>
      <c r="B1" s="52" t="s">
        <v>32</v>
      </c>
      <c r="C1" s="52" t="s">
        <v>33</v>
      </c>
      <c r="D1" s="52" t="s">
        <v>34</v>
      </c>
      <c r="E1" s="96" t="s">
        <v>35</v>
      </c>
      <c r="F1" s="56" t="s">
        <v>36</v>
      </c>
      <c r="G1" s="56" t="s">
        <v>37</v>
      </c>
      <c r="H1" s="55" t="s">
        <v>38</v>
      </c>
      <c r="I1" s="55" t="s">
        <v>39</v>
      </c>
      <c r="J1" s="55" t="s">
        <v>40</v>
      </c>
      <c r="K1" s="55" t="s">
        <v>41</v>
      </c>
      <c r="L1" s="55" t="s">
        <v>42</v>
      </c>
      <c r="M1" s="55" t="s">
        <v>43</v>
      </c>
      <c r="N1" s="55" t="s">
        <v>44</v>
      </c>
      <c r="O1" s="55" t="s">
        <v>45</v>
      </c>
      <c r="P1" s="55" t="s">
        <v>46</v>
      </c>
      <c r="Q1" s="55" t="s">
        <v>47</v>
      </c>
      <c r="R1" s="54" t="s">
        <v>48</v>
      </c>
      <c r="S1" s="53" t="s">
        <v>49</v>
      </c>
    </row>
    <row r="2" spans="1:19" ht="18" collapsed="1" x14ac:dyDescent="0.25">
      <c r="A2" s="52"/>
      <c r="B2" s="52"/>
      <c r="C2" s="52"/>
      <c r="D2" s="52"/>
      <c r="E2" s="96"/>
      <c r="F2" s="90" t="s">
        <v>50</v>
      </c>
      <c r="G2" s="56"/>
      <c r="H2" s="55"/>
      <c r="I2" s="55"/>
      <c r="J2" s="55"/>
      <c r="K2" s="55"/>
      <c r="L2" s="55"/>
      <c r="M2" s="55"/>
      <c r="N2" s="55"/>
      <c r="O2" s="55"/>
      <c r="P2" s="55"/>
      <c r="Q2" s="55"/>
      <c r="R2" s="54"/>
      <c r="S2" s="53"/>
    </row>
    <row r="3" spans="1:19" ht="18" x14ac:dyDescent="0.2">
      <c r="A3" s="52"/>
      <c r="B3" s="52"/>
      <c r="C3" s="52"/>
      <c r="D3" s="52"/>
      <c r="E3" s="96"/>
      <c r="F3" s="263" t="s">
        <v>51</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52</v>
      </c>
      <c r="G5" s="25"/>
      <c r="H5" s="25"/>
      <c r="I5" s="25"/>
      <c r="J5" s="25"/>
      <c r="K5" s="25"/>
      <c r="L5" s="25"/>
      <c r="M5" s="25"/>
      <c r="N5" s="25"/>
      <c r="O5" s="25"/>
      <c r="P5" s="25"/>
      <c r="Q5" s="25"/>
      <c r="R5" s="208"/>
      <c r="S5" s="24"/>
    </row>
    <row r="6" spans="1:19" ht="33.75" x14ac:dyDescent="0.2">
      <c r="A6" s="59" t="str">
        <f t="shared" ref="A6:A17" si="0">$G$7</f>
        <v>WISE &amp; Healthy Aging</v>
      </c>
      <c r="B6" s="59" t="str">
        <f t="shared" ref="B6:B17" si="1">$G$8</f>
        <v>Peer Counseling</v>
      </c>
      <c r="F6" s="204"/>
      <c r="G6" s="98"/>
      <c r="H6" s="43"/>
      <c r="I6" s="43"/>
      <c r="J6" s="43"/>
      <c r="K6" s="43"/>
      <c r="L6" s="51" t="s">
        <v>53</v>
      </c>
      <c r="M6" s="51" t="s">
        <v>54</v>
      </c>
      <c r="N6" s="51" t="s">
        <v>55</v>
      </c>
      <c r="O6" s="51" t="s">
        <v>56</v>
      </c>
      <c r="P6" s="51" t="s">
        <v>57</v>
      </c>
      <c r="Q6" s="51" t="s">
        <v>58</v>
      </c>
      <c r="R6" s="64" t="s">
        <v>59</v>
      </c>
      <c r="S6" s="65" t="s">
        <v>60</v>
      </c>
    </row>
    <row r="7" spans="1:19" x14ac:dyDescent="0.2">
      <c r="A7" s="59" t="str">
        <f t="shared" si="0"/>
        <v>WISE &amp; Healthy Aging</v>
      </c>
      <c r="B7" s="59" t="str">
        <f t="shared" si="1"/>
        <v>Peer Counseling</v>
      </c>
      <c r="D7" s="59" t="s">
        <v>52</v>
      </c>
      <c r="E7" s="43" t="s">
        <v>61</v>
      </c>
      <c r="F7" s="264" t="s">
        <v>62</v>
      </c>
      <c r="G7" s="222" t="s">
        <v>63</v>
      </c>
      <c r="H7" s="43"/>
      <c r="I7" s="43" t="s">
        <v>61</v>
      </c>
      <c r="J7" s="43"/>
      <c r="K7" s="43"/>
      <c r="L7" s="49">
        <f t="shared" ref="L7:M7" si="2">L36</f>
        <v>121512</v>
      </c>
      <c r="M7" s="49">
        <f t="shared" si="2"/>
        <v>83433</v>
      </c>
      <c r="N7" s="49">
        <f>L7-M7</f>
        <v>38079</v>
      </c>
      <c r="O7" s="49">
        <f t="shared" ref="O7:P7" si="3">O36</f>
        <v>43369.17</v>
      </c>
      <c r="P7" s="49">
        <f t="shared" si="3"/>
        <v>40064.080000000002</v>
      </c>
      <c r="Q7" s="49">
        <f>Q36</f>
        <v>83433.25</v>
      </c>
      <c r="R7" s="48">
        <f t="shared" ref="R7:R18" si="4">IFERROR(Q7/M7,"N/A")</f>
        <v>1.0000029964162862</v>
      </c>
      <c r="S7" s="198">
        <f>S36</f>
        <v>115459.48999999999</v>
      </c>
    </row>
    <row r="8" spans="1:19" x14ac:dyDescent="0.2">
      <c r="A8" s="59" t="str">
        <f t="shared" si="0"/>
        <v>WISE &amp; Healthy Aging</v>
      </c>
      <c r="B8" s="59" t="str">
        <f t="shared" si="1"/>
        <v>Peer Counseling</v>
      </c>
      <c r="D8" s="59" t="s">
        <v>52</v>
      </c>
      <c r="E8" s="43" t="s">
        <v>64</v>
      </c>
      <c r="F8" s="264" t="s">
        <v>65</v>
      </c>
      <c r="G8" s="223" t="s">
        <v>66</v>
      </c>
      <c r="H8" s="43"/>
      <c r="I8" s="43" t="s">
        <v>64</v>
      </c>
      <c r="J8" s="43"/>
      <c r="K8" s="43"/>
      <c r="L8" s="49">
        <f t="shared" ref="L8:M8" si="5">L47</f>
        <v>23106</v>
      </c>
      <c r="M8" s="49">
        <f t="shared" si="5"/>
        <v>9342</v>
      </c>
      <c r="N8" s="49">
        <f t="shared" ref="N8:N17" si="6">L8-M8</f>
        <v>13764</v>
      </c>
      <c r="O8" s="49">
        <f>O47</f>
        <v>4384.75</v>
      </c>
      <c r="P8" s="49">
        <f>P47</f>
        <v>4765</v>
      </c>
      <c r="Q8" s="49">
        <f>Q47</f>
        <v>9149.75</v>
      </c>
      <c r="R8" s="48">
        <f t="shared" si="4"/>
        <v>0.97942089488332262</v>
      </c>
      <c r="S8" s="198">
        <f>S47</f>
        <v>21932</v>
      </c>
    </row>
    <row r="9" spans="1:19" x14ac:dyDescent="0.2">
      <c r="A9" s="59" t="str">
        <f t="shared" si="0"/>
        <v>WISE &amp; Healthy Aging</v>
      </c>
      <c r="B9" s="59" t="str">
        <f t="shared" si="1"/>
        <v>Peer Counseling</v>
      </c>
      <c r="D9" s="59" t="s">
        <v>52</v>
      </c>
      <c r="E9" s="43" t="s">
        <v>67</v>
      </c>
      <c r="F9" s="197"/>
      <c r="G9" s="43"/>
      <c r="H9" s="43"/>
      <c r="I9" s="43" t="s">
        <v>67</v>
      </c>
      <c r="J9" s="43"/>
      <c r="K9" s="43"/>
      <c r="L9" s="49">
        <f t="shared" ref="L9:M9" si="7">L57</f>
        <v>69880</v>
      </c>
      <c r="M9" s="49">
        <f t="shared" si="7"/>
        <v>750</v>
      </c>
      <c r="N9" s="49">
        <f t="shared" si="6"/>
        <v>69130</v>
      </c>
      <c r="O9" s="49">
        <f>O57</f>
        <v>0</v>
      </c>
      <c r="P9" s="49">
        <f>P57</f>
        <v>750</v>
      </c>
      <c r="Q9" s="49">
        <f>Q57</f>
        <v>750</v>
      </c>
      <c r="R9" s="48">
        <f t="shared" si="4"/>
        <v>1</v>
      </c>
      <c r="S9" s="198">
        <f>S57</f>
        <v>67295</v>
      </c>
    </row>
    <row r="10" spans="1:19" x14ac:dyDescent="0.2">
      <c r="A10" s="59" t="str">
        <f t="shared" si="0"/>
        <v>WISE &amp; Healthy Aging</v>
      </c>
      <c r="B10" s="59" t="str">
        <f t="shared" si="1"/>
        <v>Peer Counseling</v>
      </c>
      <c r="D10" s="59" t="s">
        <v>52</v>
      </c>
      <c r="E10" s="43" t="s">
        <v>68</v>
      </c>
      <c r="F10" s="197"/>
      <c r="G10" s="43"/>
      <c r="H10" s="43"/>
      <c r="I10" s="43" t="s">
        <v>68</v>
      </c>
      <c r="J10" s="43"/>
      <c r="K10" s="43"/>
      <c r="L10" s="49">
        <f t="shared" ref="L10:M10" si="8">L66</f>
        <v>7018</v>
      </c>
      <c r="M10" s="49">
        <f t="shared" si="8"/>
        <v>0</v>
      </c>
      <c r="N10" s="49">
        <f t="shared" si="6"/>
        <v>7018</v>
      </c>
      <c r="O10" s="49">
        <f>O66</f>
        <v>0</v>
      </c>
      <c r="P10" s="49">
        <f>P66</f>
        <v>0</v>
      </c>
      <c r="Q10" s="49">
        <f>Q66</f>
        <v>0</v>
      </c>
      <c r="R10" s="48" t="str">
        <f t="shared" si="4"/>
        <v>N/A</v>
      </c>
      <c r="S10" s="198">
        <f>S66</f>
        <v>6286</v>
      </c>
    </row>
    <row r="11" spans="1:19" x14ac:dyDescent="0.2">
      <c r="A11" s="59" t="str">
        <f t="shared" si="0"/>
        <v>WISE &amp; Healthy Aging</v>
      </c>
      <c r="B11" s="59" t="str">
        <f t="shared" si="1"/>
        <v>Peer Counseling</v>
      </c>
      <c r="D11" s="59" t="s">
        <v>52</v>
      </c>
      <c r="E11" s="43" t="s">
        <v>69</v>
      </c>
      <c r="F11" s="37" t="s">
        <v>70</v>
      </c>
      <c r="G11" s="265" t="s">
        <v>71</v>
      </c>
      <c r="H11" s="43"/>
      <c r="I11" s="43" t="s">
        <v>69</v>
      </c>
      <c r="J11" s="43"/>
      <c r="K11" s="43"/>
      <c r="L11" s="49">
        <f t="shared" ref="L11:M11" si="9">L73</f>
        <v>0</v>
      </c>
      <c r="M11" s="49">
        <f t="shared" si="9"/>
        <v>0</v>
      </c>
      <c r="N11" s="49">
        <f t="shared" si="6"/>
        <v>0</v>
      </c>
      <c r="O11" s="49">
        <f>O73</f>
        <v>0</v>
      </c>
      <c r="P11" s="49">
        <f>P73</f>
        <v>0</v>
      </c>
      <c r="Q11" s="49">
        <f>Q73</f>
        <v>0</v>
      </c>
      <c r="R11" s="48" t="str">
        <f t="shared" si="4"/>
        <v>N/A</v>
      </c>
      <c r="S11" s="198">
        <f>S73</f>
        <v>0</v>
      </c>
    </row>
    <row r="12" spans="1:19" x14ac:dyDescent="0.2">
      <c r="A12" s="59" t="str">
        <f t="shared" si="0"/>
        <v>WISE &amp; Healthy Aging</v>
      </c>
      <c r="B12" s="59" t="str">
        <f t="shared" si="1"/>
        <v>Peer Counseling</v>
      </c>
      <c r="D12" s="59" t="s">
        <v>52</v>
      </c>
      <c r="E12" s="43" t="s">
        <v>72</v>
      </c>
      <c r="F12" s="197"/>
      <c r="G12" s="43"/>
      <c r="H12" s="43"/>
      <c r="I12" s="43" t="s">
        <v>72</v>
      </c>
      <c r="J12" s="43"/>
      <c r="K12" s="43"/>
      <c r="L12" s="49">
        <f t="shared" ref="L12:M12" si="10">L82</f>
        <v>960</v>
      </c>
      <c r="M12" s="49">
        <f t="shared" si="10"/>
        <v>0</v>
      </c>
      <c r="N12" s="49">
        <f t="shared" si="6"/>
        <v>960</v>
      </c>
      <c r="O12" s="49">
        <f>O82</f>
        <v>0</v>
      </c>
      <c r="P12" s="49">
        <f>P82</f>
        <v>0</v>
      </c>
      <c r="Q12" s="49">
        <f>Q82</f>
        <v>0</v>
      </c>
      <c r="R12" s="48" t="str">
        <f t="shared" si="4"/>
        <v>N/A</v>
      </c>
      <c r="S12" s="198">
        <f>S82</f>
        <v>188</v>
      </c>
    </row>
    <row r="13" spans="1:19" x14ac:dyDescent="0.2">
      <c r="A13" s="59" t="str">
        <f t="shared" si="0"/>
        <v>WISE &amp; Healthy Aging</v>
      </c>
      <c r="B13" s="59" t="str">
        <f t="shared" si="1"/>
        <v>Peer Counseling</v>
      </c>
      <c r="D13" s="59" t="s">
        <v>52</v>
      </c>
      <c r="E13" s="43" t="s">
        <v>73</v>
      </c>
      <c r="F13" s="266" t="s">
        <v>74</v>
      </c>
      <c r="G13" s="252">
        <v>13933</v>
      </c>
      <c r="H13" s="43"/>
      <c r="I13" s="43" t="s">
        <v>73</v>
      </c>
      <c r="J13" s="43"/>
      <c r="K13" s="43"/>
      <c r="L13" s="49">
        <f t="shared" ref="L13:M13" si="11">L89</f>
        <v>861</v>
      </c>
      <c r="M13" s="49">
        <f t="shared" si="11"/>
        <v>0</v>
      </c>
      <c r="N13" s="49">
        <f t="shared" si="6"/>
        <v>861</v>
      </c>
      <c r="O13" s="49">
        <f>O89</f>
        <v>0</v>
      </c>
      <c r="P13" s="49">
        <f>P89</f>
        <v>0</v>
      </c>
      <c r="Q13" s="49">
        <f>Q89</f>
        <v>0</v>
      </c>
      <c r="R13" s="48" t="str">
        <f t="shared" si="4"/>
        <v>N/A</v>
      </c>
      <c r="S13" s="198">
        <f>S89</f>
        <v>1476</v>
      </c>
    </row>
    <row r="14" spans="1:19" x14ac:dyDescent="0.2">
      <c r="A14" s="59" t="str">
        <f t="shared" si="0"/>
        <v>WISE &amp; Healthy Aging</v>
      </c>
      <c r="B14" s="59" t="str">
        <f t="shared" si="1"/>
        <v>Peer Counseling</v>
      </c>
      <c r="D14" s="59" t="s">
        <v>52</v>
      </c>
      <c r="E14" s="43" t="s">
        <v>75</v>
      </c>
      <c r="F14" s="197" t="s">
        <v>76</v>
      </c>
      <c r="G14" s="267">
        <v>102154</v>
      </c>
      <c r="H14" s="43"/>
      <c r="I14" s="43" t="s">
        <v>75</v>
      </c>
      <c r="J14" s="43"/>
      <c r="K14" s="43"/>
      <c r="L14" s="49">
        <f t="shared" ref="L14:M14" si="12">L109</f>
        <v>61427</v>
      </c>
      <c r="M14" s="49">
        <f t="shared" si="12"/>
        <v>6715</v>
      </c>
      <c r="N14" s="49">
        <f t="shared" si="6"/>
        <v>54712</v>
      </c>
      <c r="O14" s="49">
        <f>O109</f>
        <v>0</v>
      </c>
      <c r="P14" s="49">
        <f>P109</f>
        <v>6907</v>
      </c>
      <c r="Q14" s="49">
        <f>Q109</f>
        <v>6907</v>
      </c>
      <c r="R14" s="48">
        <f t="shared" si="4"/>
        <v>1.0285927029039463</v>
      </c>
      <c r="S14" s="198">
        <f>S109</f>
        <v>55457.36</v>
      </c>
    </row>
    <row r="15" spans="1:19" x14ac:dyDescent="0.2">
      <c r="A15" s="59" t="str">
        <f t="shared" si="0"/>
        <v>WISE &amp; Healthy Aging</v>
      </c>
      <c r="B15" s="59" t="str">
        <f t="shared" si="1"/>
        <v>Peer Counseling</v>
      </c>
      <c r="D15" s="59" t="s">
        <v>52</v>
      </c>
      <c r="E15" s="43" t="s">
        <v>77</v>
      </c>
      <c r="F15" s="197" t="s">
        <v>78</v>
      </c>
      <c r="G15" s="252">
        <f>Q18</f>
        <v>116087</v>
      </c>
      <c r="H15" s="43"/>
      <c r="I15" s="43" t="s">
        <v>77</v>
      </c>
      <c r="J15" s="43"/>
      <c r="K15" s="43"/>
      <c r="L15" s="49">
        <f t="shared" ref="L15:M15" si="13">L116</f>
        <v>0</v>
      </c>
      <c r="M15" s="49">
        <f t="shared" si="13"/>
        <v>0</v>
      </c>
      <c r="N15" s="49">
        <f t="shared" si="6"/>
        <v>0</v>
      </c>
      <c r="O15" s="49">
        <f>O116</f>
        <v>0</v>
      </c>
      <c r="P15" s="49">
        <f>P116</f>
        <v>0</v>
      </c>
      <c r="Q15" s="49">
        <f>Q116</f>
        <v>0</v>
      </c>
      <c r="R15" s="48" t="str">
        <f t="shared" si="4"/>
        <v>N/A</v>
      </c>
      <c r="S15" s="198">
        <f>S116</f>
        <v>0</v>
      </c>
    </row>
    <row r="16" spans="1:19" x14ac:dyDescent="0.2">
      <c r="A16" s="59" t="str">
        <f t="shared" si="0"/>
        <v>WISE &amp; Healthy Aging</v>
      </c>
      <c r="B16" s="59" t="str">
        <f t="shared" si="1"/>
        <v>Peer Counseling</v>
      </c>
      <c r="D16" s="59" t="s">
        <v>52</v>
      </c>
      <c r="E16" s="43" t="s">
        <v>79</v>
      </c>
      <c r="F16" s="197" t="s">
        <v>80</v>
      </c>
      <c r="G16" s="252">
        <f>G13+G14-G15</f>
        <v>0</v>
      </c>
      <c r="H16" s="43"/>
      <c r="I16" s="43" t="s">
        <v>79</v>
      </c>
      <c r="J16" s="43"/>
      <c r="K16" s="43"/>
      <c r="L16" s="49">
        <f t="shared" ref="L16:M16" si="14">L123</f>
        <v>0</v>
      </c>
      <c r="M16" s="49">
        <f t="shared" si="14"/>
        <v>0</v>
      </c>
      <c r="N16" s="49">
        <f t="shared" si="6"/>
        <v>0</v>
      </c>
      <c r="O16" s="49">
        <f>O123</f>
        <v>0</v>
      </c>
      <c r="P16" s="49">
        <f>P123</f>
        <v>0</v>
      </c>
      <c r="Q16" s="49">
        <f>Q123</f>
        <v>0</v>
      </c>
      <c r="R16" s="48" t="str">
        <f t="shared" si="4"/>
        <v>N/A</v>
      </c>
      <c r="S16" s="198">
        <f>S123</f>
        <v>0</v>
      </c>
    </row>
    <row r="17" spans="1:24" x14ac:dyDescent="0.2">
      <c r="A17" s="59" t="str">
        <f t="shared" si="0"/>
        <v>WISE &amp; Healthy Aging</v>
      </c>
      <c r="B17" s="59" t="str">
        <f t="shared" si="1"/>
        <v>Peer Counseling</v>
      </c>
      <c r="D17" s="59" t="s">
        <v>52</v>
      </c>
      <c r="E17" s="43" t="s">
        <v>81</v>
      </c>
      <c r="F17" s="197"/>
      <c r="G17" s="43"/>
      <c r="H17" s="43"/>
      <c r="I17" s="43" t="s">
        <v>81</v>
      </c>
      <c r="J17" s="43"/>
      <c r="K17" s="43"/>
      <c r="L17" s="49">
        <f t="shared" ref="L17:M17" si="15">L132</f>
        <v>32918</v>
      </c>
      <c r="M17" s="49">
        <f t="shared" si="15"/>
        <v>15847</v>
      </c>
      <c r="N17" s="49">
        <f t="shared" si="6"/>
        <v>17071</v>
      </c>
      <c r="O17" s="49">
        <f>O132</f>
        <v>7926</v>
      </c>
      <c r="P17" s="49">
        <f>P132</f>
        <v>7921</v>
      </c>
      <c r="Q17" s="49">
        <f>Q132</f>
        <v>15847</v>
      </c>
      <c r="R17" s="48">
        <f t="shared" si="4"/>
        <v>1</v>
      </c>
      <c r="S17" s="198">
        <f>S132</f>
        <v>32918</v>
      </c>
    </row>
    <row r="18" spans="1:24" ht="13.5" thickBot="1" x14ac:dyDescent="0.25">
      <c r="E18" s="43"/>
      <c r="F18" s="199"/>
      <c r="G18" s="200"/>
      <c r="H18" s="66"/>
      <c r="I18" s="200" t="s">
        <v>82</v>
      </c>
      <c r="J18" s="200"/>
      <c r="K18" s="200"/>
      <c r="L18" s="201">
        <f t="shared" ref="L18:Q18" si="16">SUM(L7:L17)</f>
        <v>317682</v>
      </c>
      <c r="M18" s="201">
        <f t="shared" si="16"/>
        <v>116087</v>
      </c>
      <c r="N18" s="201">
        <f t="shared" si="16"/>
        <v>201595</v>
      </c>
      <c r="O18" s="201">
        <f t="shared" si="16"/>
        <v>55679.92</v>
      </c>
      <c r="P18" s="201">
        <f t="shared" si="16"/>
        <v>60407.08</v>
      </c>
      <c r="Q18" s="201">
        <f t="shared" si="16"/>
        <v>116087</v>
      </c>
      <c r="R18" s="202">
        <f t="shared" si="4"/>
        <v>1</v>
      </c>
      <c r="S18" s="203">
        <f>SUM(S7:S17)</f>
        <v>301011.84999999998</v>
      </c>
    </row>
    <row r="19" spans="1:24" ht="13.5" thickBot="1" x14ac:dyDescent="0.25">
      <c r="E19" s="43"/>
      <c r="F19" s="36"/>
      <c r="G19" s="43"/>
      <c r="H19" s="43"/>
      <c r="I19" s="36"/>
      <c r="J19" s="36"/>
      <c r="K19" s="36"/>
      <c r="L19" s="124"/>
      <c r="M19" s="124"/>
      <c r="N19" s="124"/>
      <c r="O19" s="124"/>
      <c r="P19" s="124"/>
      <c r="Q19" s="124"/>
      <c r="R19" s="105"/>
      <c r="S19" s="124"/>
    </row>
    <row r="20" spans="1:24" ht="13.5" hidden="1" thickBot="1" x14ac:dyDescent="0.25">
      <c r="E20" s="43"/>
      <c r="F20" s="43" t="s">
        <v>83</v>
      </c>
      <c r="G20" s="43"/>
      <c r="H20" s="43"/>
      <c r="I20" s="36"/>
      <c r="J20" s="36"/>
      <c r="K20" s="36"/>
      <c r="L20" s="124"/>
      <c r="M20" s="124"/>
      <c r="N20" s="124"/>
      <c r="O20" s="124"/>
      <c r="P20" s="124"/>
      <c r="Q20" s="124"/>
      <c r="R20" s="105"/>
      <c r="S20" s="124"/>
    </row>
    <row r="21" spans="1:24" ht="13.5" hidden="1" thickBot="1" x14ac:dyDescent="0.25">
      <c r="E21" s="43"/>
      <c r="F21" s="197" t="s">
        <v>84</v>
      </c>
      <c r="G21" s="43"/>
      <c r="H21" s="43"/>
      <c r="I21" s="36"/>
      <c r="J21" s="36"/>
      <c r="K21" s="36"/>
      <c r="L21" s="124"/>
      <c r="M21" s="124"/>
      <c r="N21" s="124"/>
      <c r="O21" s="124"/>
      <c r="P21" s="124"/>
      <c r="Q21" s="124"/>
      <c r="R21" s="105"/>
      <c r="S21" s="124"/>
    </row>
    <row r="22" spans="1:24" ht="13.5" hidden="1" thickBot="1" x14ac:dyDescent="0.25">
      <c r="F22" s="197" t="s">
        <v>71</v>
      </c>
      <c r="G22" s="43"/>
      <c r="H22" s="43"/>
      <c r="I22" s="43"/>
      <c r="J22" s="43"/>
      <c r="K22" s="43"/>
    </row>
    <row r="23" spans="1:24" ht="13.5" thickBot="1" x14ac:dyDescent="0.25">
      <c r="E23" s="43"/>
      <c r="F23" s="26" t="s">
        <v>85</v>
      </c>
      <c r="G23" s="25"/>
      <c r="H23" s="25"/>
      <c r="I23" s="25"/>
      <c r="J23" s="25"/>
      <c r="K23" s="25"/>
      <c r="L23" s="25"/>
      <c r="M23" s="25"/>
      <c r="N23" s="25"/>
      <c r="O23" s="25"/>
      <c r="P23" s="25"/>
      <c r="Q23" s="25"/>
      <c r="R23" s="208"/>
      <c r="S23" s="24"/>
    </row>
    <row r="24" spans="1:24" ht="13.5" thickBot="1" x14ac:dyDescent="0.25">
      <c r="F24" s="43"/>
      <c r="G24" s="43"/>
      <c r="H24" s="43"/>
      <c r="I24" s="43"/>
      <c r="J24" s="43"/>
      <c r="K24" s="43"/>
    </row>
    <row r="25" spans="1:24" x14ac:dyDescent="0.2">
      <c r="F25" s="181" t="s">
        <v>86</v>
      </c>
      <c r="G25" s="182"/>
      <c r="H25" s="182"/>
      <c r="I25" s="182"/>
      <c r="J25" s="182"/>
      <c r="K25" s="183"/>
      <c r="L25" s="184"/>
      <c r="M25" s="184"/>
      <c r="N25" s="184"/>
      <c r="O25" s="184"/>
      <c r="P25" s="184"/>
      <c r="Q25" s="184"/>
      <c r="R25" s="185"/>
      <c r="S25" s="186"/>
    </row>
    <row r="26" spans="1:24" s="82" customFormat="1" ht="11.25" x14ac:dyDescent="0.2">
      <c r="A26" s="77"/>
      <c r="B26" s="77"/>
      <c r="C26" s="77"/>
      <c r="D26" s="77"/>
      <c r="E26" s="86"/>
      <c r="F26" s="187" t="s">
        <v>87</v>
      </c>
      <c r="G26" s="88"/>
      <c r="H26" s="88"/>
      <c r="I26" s="88"/>
      <c r="J26" s="88"/>
      <c r="K26" s="80"/>
      <c r="L26" s="22"/>
      <c r="M26" s="22"/>
      <c r="N26" s="22"/>
      <c r="O26" s="22"/>
      <c r="P26" s="22"/>
      <c r="Q26" s="22"/>
      <c r="R26" s="21"/>
      <c r="S26" s="188"/>
      <c r="T26" s="282"/>
      <c r="U26" s="282"/>
      <c r="V26" s="282"/>
      <c r="W26" s="282"/>
      <c r="X26" s="282"/>
    </row>
    <row r="27" spans="1:24" s="82" customFormat="1" ht="33.75" x14ac:dyDescent="0.2">
      <c r="A27" s="59"/>
      <c r="B27" s="59"/>
      <c r="C27" s="77"/>
      <c r="D27" s="89"/>
      <c r="E27" s="86"/>
      <c r="F27" s="189" t="s">
        <v>88</v>
      </c>
      <c r="G27" s="68" t="s">
        <v>89</v>
      </c>
      <c r="H27" s="51" t="s">
        <v>38</v>
      </c>
      <c r="I27" s="51" t="s">
        <v>39</v>
      </c>
      <c r="J27" s="51" t="s">
        <v>40</v>
      </c>
      <c r="K27" s="51" t="s">
        <v>257</v>
      </c>
      <c r="L27" s="51" t="s">
        <v>53</v>
      </c>
      <c r="M27" s="51" t="s">
        <v>54</v>
      </c>
      <c r="N27" s="51" t="s">
        <v>55</v>
      </c>
      <c r="O27" s="51" t="s">
        <v>56</v>
      </c>
      <c r="P27" s="51" t="s">
        <v>57</v>
      </c>
      <c r="Q27" s="51" t="s">
        <v>58</v>
      </c>
      <c r="R27" s="64" t="s">
        <v>59</v>
      </c>
      <c r="S27" s="190" t="s">
        <v>60</v>
      </c>
      <c r="T27" s="282"/>
      <c r="U27" s="282"/>
      <c r="V27" s="282"/>
      <c r="W27" s="282"/>
      <c r="X27" s="282"/>
    </row>
    <row r="28" spans="1:24" hidden="1" outlineLevel="1" x14ac:dyDescent="0.2">
      <c r="A28" s="59" t="str">
        <f t="shared" ref="A28:A35" si="17">$G$7</f>
        <v>WISE &amp; Healthy Aging</v>
      </c>
      <c r="B28" s="59" t="str">
        <f t="shared" ref="B28:B35" si="18">$G$8</f>
        <v>Peer Counseling</v>
      </c>
      <c r="D28" s="59" t="s">
        <v>85</v>
      </c>
      <c r="E28" s="29" t="s">
        <v>86</v>
      </c>
      <c r="F28" s="224" t="s">
        <v>90</v>
      </c>
      <c r="G28" s="225" t="s">
        <v>91</v>
      </c>
      <c r="H28" s="226">
        <v>1</v>
      </c>
      <c r="I28" s="227">
        <v>9166.67</v>
      </c>
      <c r="J28" s="226">
        <f>H28*K28</f>
        <v>0.1</v>
      </c>
      <c r="K28" s="229">
        <v>0.1</v>
      </c>
      <c r="L28" s="230">
        <v>8000</v>
      </c>
      <c r="M28" s="230">
        <v>8000</v>
      </c>
      <c r="N28" s="231">
        <v>8000</v>
      </c>
      <c r="O28" s="268">
        <v>8317.68</v>
      </c>
      <c r="P28" s="268">
        <f>-318+0.08</f>
        <v>-317.92</v>
      </c>
      <c r="Q28" s="50">
        <f t="shared" ref="Q28:Q35" si="19">SUM(O28:P28)</f>
        <v>7999.76</v>
      </c>
      <c r="R28" s="48">
        <f t="shared" ref="R28:R36" si="20">IFERROR(Q28/M28,"N/A")</f>
        <v>0.99997000000000003</v>
      </c>
      <c r="S28" s="269">
        <v>8702</v>
      </c>
      <c r="T28" s="283" t="s">
        <v>92</v>
      </c>
    </row>
    <row r="29" spans="1:24" hidden="1" outlineLevel="1" x14ac:dyDescent="0.2">
      <c r="A29" s="59" t="str">
        <f t="shared" si="17"/>
        <v>WISE &amp; Healthy Aging</v>
      </c>
      <c r="B29" s="59" t="str">
        <f t="shared" si="18"/>
        <v>Peer Counseling</v>
      </c>
      <c r="D29" s="59" t="s">
        <v>85</v>
      </c>
      <c r="E29" s="29" t="s">
        <v>86</v>
      </c>
      <c r="F29" s="224" t="s">
        <v>93</v>
      </c>
      <c r="G29" s="225" t="s">
        <v>94</v>
      </c>
      <c r="H29" s="226">
        <v>1</v>
      </c>
      <c r="I29" s="227">
        <v>5833.333333333333</v>
      </c>
      <c r="J29" s="228">
        <f>H29*K29</f>
        <v>0.3</v>
      </c>
      <c r="K29" s="229">
        <v>0.3</v>
      </c>
      <c r="L29" s="230">
        <v>21000</v>
      </c>
      <c r="M29" s="230">
        <v>17500</v>
      </c>
      <c r="N29" s="232">
        <f t="shared" ref="N29:N35" si="21">L29-M29</f>
        <v>3500</v>
      </c>
      <c r="O29" s="268">
        <v>9269.43</v>
      </c>
      <c r="P29" s="268">
        <v>8231</v>
      </c>
      <c r="Q29" s="50">
        <f t="shared" si="19"/>
        <v>17500.43</v>
      </c>
      <c r="R29" s="48">
        <f t="shared" si="20"/>
        <v>1.0000245714285714</v>
      </c>
      <c r="S29" s="269">
        <v>18300.43</v>
      </c>
      <c r="T29" s="283" t="s">
        <v>92</v>
      </c>
    </row>
    <row r="30" spans="1:24" collapsed="1" x14ac:dyDescent="0.2">
      <c r="F30" s="224"/>
      <c r="G30" s="225" t="s">
        <v>92</v>
      </c>
      <c r="H30" s="226"/>
      <c r="I30" s="227"/>
      <c r="J30" s="228"/>
      <c r="K30" s="226">
        <f>SUM(J28:J29)</f>
        <v>0.4</v>
      </c>
      <c r="L30" s="230">
        <f>SUM(L28:L29)</f>
        <v>29000</v>
      </c>
      <c r="M30" s="230">
        <f t="shared" ref="M30:Q30" si="22">SUM(M28:M29)</f>
        <v>25500</v>
      </c>
      <c r="N30" s="232">
        <f t="shared" si="22"/>
        <v>11500</v>
      </c>
      <c r="O30" s="268">
        <f t="shared" si="22"/>
        <v>17587.11</v>
      </c>
      <c r="P30" s="268">
        <f t="shared" si="22"/>
        <v>7913.08</v>
      </c>
      <c r="Q30" s="50">
        <f t="shared" si="22"/>
        <v>25500.190000000002</v>
      </c>
      <c r="R30" s="48">
        <f t="shared" si="20"/>
        <v>1.0000074509803922</v>
      </c>
      <c r="S30" s="269">
        <f>SUM(S28:S29)</f>
        <v>27002.43</v>
      </c>
      <c r="T30" s="283"/>
    </row>
    <row r="31" spans="1:24" hidden="1" outlineLevel="1" x14ac:dyDescent="0.2">
      <c r="A31" s="59" t="str">
        <f t="shared" si="17"/>
        <v>WISE &amp; Healthy Aging</v>
      </c>
      <c r="B31" s="59" t="str">
        <f t="shared" si="18"/>
        <v>Peer Counseling</v>
      </c>
      <c r="D31" s="59" t="s">
        <v>85</v>
      </c>
      <c r="E31" s="29" t="s">
        <v>86</v>
      </c>
      <c r="F31" s="224" t="s">
        <v>95</v>
      </c>
      <c r="G31" s="225" t="s">
        <v>96</v>
      </c>
      <c r="H31" s="226">
        <v>1</v>
      </c>
      <c r="I31" s="227">
        <v>5666.666666666667</v>
      </c>
      <c r="J31" s="228">
        <f t="shared" ref="J31:J33" si="23">H31*K31</f>
        <v>0.5</v>
      </c>
      <c r="K31" s="229">
        <v>0.5</v>
      </c>
      <c r="L31" s="230">
        <v>34000</v>
      </c>
      <c r="M31" s="230">
        <v>12150</v>
      </c>
      <c r="N31" s="232">
        <f t="shared" si="21"/>
        <v>21850</v>
      </c>
      <c r="O31" s="268">
        <v>0</v>
      </c>
      <c r="P31" s="268">
        <v>12150</v>
      </c>
      <c r="Q31" s="50">
        <f t="shared" si="19"/>
        <v>12150</v>
      </c>
      <c r="R31" s="48">
        <f t="shared" si="20"/>
        <v>1</v>
      </c>
      <c r="S31" s="269">
        <v>34000</v>
      </c>
      <c r="T31" s="283" t="s">
        <v>97</v>
      </c>
    </row>
    <row r="32" spans="1:24" hidden="1" outlineLevel="1" x14ac:dyDescent="0.2">
      <c r="A32" s="59" t="str">
        <f t="shared" si="17"/>
        <v>WISE &amp; Healthy Aging</v>
      </c>
      <c r="B32" s="59" t="str">
        <f t="shared" si="18"/>
        <v>Peer Counseling</v>
      </c>
      <c r="D32" s="59" t="s">
        <v>85</v>
      </c>
      <c r="E32" s="29" t="s">
        <v>86</v>
      </c>
      <c r="F32" s="224" t="s">
        <v>98</v>
      </c>
      <c r="G32" s="225" t="s">
        <v>99</v>
      </c>
      <c r="H32" s="226">
        <v>0.3</v>
      </c>
      <c r="I32" s="227">
        <v>8084.27</v>
      </c>
      <c r="J32" s="228">
        <f t="shared" si="23"/>
        <v>0.3</v>
      </c>
      <c r="K32" s="229">
        <v>1</v>
      </c>
      <c r="L32" s="230">
        <v>5285</v>
      </c>
      <c r="M32" s="230">
        <v>2556</v>
      </c>
      <c r="N32" s="232">
        <f t="shared" si="21"/>
        <v>2729</v>
      </c>
      <c r="O32" s="268">
        <v>2555.87</v>
      </c>
      <c r="P32" s="268">
        <v>0</v>
      </c>
      <c r="Q32" s="50">
        <f t="shared" si="19"/>
        <v>2555.87</v>
      </c>
      <c r="R32" s="48">
        <f t="shared" si="20"/>
        <v>0.99994913928012519</v>
      </c>
      <c r="S32" s="269">
        <v>4259.87</v>
      </c>
      <c r="T32" s="283" t="s">
        <v>97</v>
      </c>
    </row>
    <row r="33" spans="1:24" hidden="1" outlineLevel="1" x14ac:dyDescent="0.2">
      <c r="A33" s="59" t="str">
        <f t="shared" si="17"/>
        <v>WISE &amp; Healthy Aging</v>
      </c>
      <c r="B33" s="59" t="str">
        <f t="shared" si="18"/>
        <v>Peer Counseling</v>
      </c>
      <c r="D33" s="59" t="s">
        <v>85</v>
      </c>
      <c r="E33" s="29" t="s">
        <v>86</v>
      </c>
      <c r="F33" s="224" t="s">
        <v>100</v>
      </c>
      <c r="G33" s="225" t="s">
        <v>99</v>
      </c>
      <c r="H33" s="226">
        <v>0.6</v>
      </c>
      <c r="I33" s="227">
        <v>8079.07</v>
      </c>
      <c r="J33" s="228">
        <f t="shared" si="23"/>
        <v>0.6</v>
      </c>
      <c r="K33" s="229">
        <v>1</v>
      </c>
      <c r="L33" s="230">
        <v>53227</v>
      </c>
      <c r="M33" s="230">
        <v>43227</v>
      </c>
      <c r="N33" s="232">
        <f t="shared" si="21"/>
        <v>10000</v>
      </c>
      <c r="O33" s="268">
        <v>23226.19</v>
      </c>
      <c r="P33" s="268">
        <v>20001</v>
      </c>
      <c r="Q33" s="50">
        <f t="shared" si="19"/>
        <v>43227.19</v>
      </c>
      <c r="R33" s="48">
        <f t="shared" si="20"/>
        <v>1.0000043954010225</v>
      </c>
      <c r="S33" s="269">
        <v>50197.19</v>
      </c>
      <c r="T33" s="283" t="s">
        <v>97</v>
      </c>
    </row>
    <row r="34" spans="1:24" collapsed="1" x14ac:dyDescent="0.2">
      <c r="F34" s="224"/>
      <c r="G34" s="225" t="s">
        <v>97</v>
      </c>
      <c r="H34" s="233"/>
      <c r="I34" s="234"/>
      <c r="J34" s="235"/>
      <c r="K34" s="226">
        <f>SUM(J31:J33)</f>
        <v>1.4</v>
      </c>
      <c r="L34" s="230">
        <f>SUM(L31:L33)</f>
        <v>92512</v>
      </c>
      <c r="M34" s="230">
        <f t="shared" ref="M34:Q34" si="24">SUM(M31:M33)</f>
        <v>57933</v>
      </c>
      <c r="N34" s="232">
        <f t="shared" si="24"/>
        <v>34579</v>
      </c>
      <c r="O34" s="268">
        <f t="shared" si="24"/>
        <v>25782.059999999998</v>
      </c>
      <c r="P34" s="268">
        <f t="shared" si="24"/>
        <v>32151</v>
      </c>
      <c r="Q34" s="50">
        <f t="shared" si="24"/>
        <v>57933.06</v>
      </c>
      <c r="R34" s="48">
        <f t="shared" si="20"/>
        <v>1.0000010356791467</v>
      </c>
      <c r="S34" s="269">
        <f>SUM(S31:S33)</f>
        <v>88457.06</v>
      </c>
      <c r="T34" s="283"/>
    </row>
    <row r="35" spans="1:24" x14ac:dyDescent="0.2">
      <c r="A35" s="59" t="str">
        <f t="shared" si="17"/>
        <v>WISE &amp; Healthy Aging</v>
      </c>
      <c r="B35" s="59" t="str">
        <f t="shared" si="18"/>
        <v>Peer Counseling</v>
      </c>
      <c r="D35" s="59" t="s">
        <v>85</v>
      </c>
      <c r="E35" s="29" t="s">
        <v>86</v>
      </c>
      <c r="F35" s="224"/>
      <c r="G35" s="225"/>
      <c r="H35" s="233"/>
      <c r="I35" s="234"/>
      <c r="J35" s="235"/>
      <c r="K35" s="236"/>
      <c r="L35" s="230">
        <v>0</v>
      </c>
      <c r="M35" s="230">
        <v>0</v>
      </c>
      <c r="N35" s="232">
        <f t="shared" si="21"/>
        <v>0</v>
      </c>
      <c r="O35" s="268">
        <v>0</v>
      </c>
      <c r="P35" s="268">
        <v>0</v>
      </c>
      <c r="Q35" s="50">
        <f t="shared" si="19"/>
        <v>0</v>
      </c>
      <c r="R35" s="48" t="str">
        <f t="shared" ref="R35" si="25">IFERROR(Q35/M35,"N/A")</f>
        <v>N/A</v>
      </c>
      <c r="S35" s="269">
        <v>0</v>
      </c>
    </row>
    <row r="36" spans="1:24" ht="13.5" thickBot="1" x14ac:dyDescent="0.25">
      <c r="F36" s="191"/>
      <c r="G36" s="180"/>
      <c r="H36" s="192" t="s">
        <v>101</v>
      </c>
      <c r="I36" s="193"/>
      <c r="J36" s="193"/>
      <c r="K36" s="295">
        <f t="shared" ref="K36:Q36" si="26">SUM(K34,K30)</f>
        <v>1.7999999999999998</v>
      </c>
      <c r="L36" s="194">
        <f t="shared" si="26"/>
        <v>121512</v>
      </c>
      <c r="M36" s="194">
        <f t="shared" si="26"/>
        <v>83433</v>
      </c>
      <c r="N36" s="194">
        <f t="shared" si="26"/>
        <v>46079</v>
      </c>
      <c r="O36" s="194">
        <f t="shared" si="26"/>
        <v>43369.17</v>
      </c>
      <c r="P36" s="194">
        <f t="shared" si="26"/>
        <v>40064.080000000002</v>
      </c>
      <c r="Q36" s="194">
        <f t="shared" si="26"/>
        <v>83433.25</v>
      </c>
      <c r="R36" s="195">
        <f t="shared" si="20"/>
        <v>1.0000029964162862</v>
      </c>
      <c r="S36" s="196">
        <f>SUM(S34,S30)</f>
        <v>115459.48999999999</v>
      </c>
    </row>
    <row r="37" spans="1:24" ht="13.5" thickBot="1" x14ac:dyDescent="0.25">
      <c r="F37" s="43"/>
      <c r="G37" s="43"/>
      <c r="H37" s="43"/>
      <c r="I37" s="43"/>
      <c r="J37" s="43"/>
      <c r="K37" s="43"/>
    </row>
    <row r="38" spans="1:24" x14ac:dyDescent="0.2">
      <c r="F38" s="19" t="s">
        <v>102</v>
      </c>
      <c r="G38" s="18"/>
      <c r="H38" s="18"/>
      <c r="I38" s="18"/>
      <c r="J38" s="18"/>
      <c r="K38" s="17"/>
      <c r="L38" s="16"/>
      <c r="M38" s="16"/>
      <c r="N38" s="16"/>
      <c r="O38" s="16"/>
      <c r="P38" s="16"/>
      <c r="Q38" s="16"/>
      <c r="R38" s="15"/>
      <c r="S38" s="14"/>
    </row>
    <row r="39" spans="1:24" s="82" customFormat="1" x14ac:dyDescent="0.2">
      <c r="A39" s="59"/>
      <c r="B39" s="59"/>
      <c r="C39" s="77"/>
      <c r="D39" s="77"/>
      <c r="E39" s="86"/>
      <c r="F39" s="78" t="s">
        <v>103</v>
      </c>
      <c r="G39" s="88"/>
      <c r="H39" s="88"/>
      <c r="I39" s="88"/>
      <c r="J39" s="88"/>
      <c r="K39" s="80"/>
      <c r="L39" s="22"/>
      <c r="M39" s="22"/>
      <c r="N39" s="22"/>
      <c r="O39" s="22"/>
      <c r="P39" s="22"/>
      <c r="Q39" s="22"/>
      <c r="R39" s="21"/>
      <c r="S39" s="20"/>
      <c r="T39" s="282"/>
      <c r="U39" s="282"/>
      <c r="V39" s="282"/>
      <c r="W39" s="282"/>
      <c r="X39" s="282"/>
    </row>
    <row r="40" spans="1:24" ht="33.75" x14ac:dyDescent="0.2">
      <c r="A40" s="59" t="str">
        <f t="shared" ref="A40:A46" si="27">$G$7</f>
        <v>WISE &amp; Healthy Aging</v>
      </c>
      <c r="B40" s="59" t="str">
        <f t="shared" ref="B40:B46" si="28">$G$8</f>
        <v>Peer Counseling</v>
      </c>
      <c r="D40" s="59" t="s">
        <v>85</v>
      </c>
      <c r="E40" s="29" t="s">
        <v>102</v>
      </c>
      <c r="F40" s="67" t="s">
        <v>104</v>
      </c>
      <c r="G40" s="68"/>
      <c r="H40" s="69"/>
      <c r="I40" s="69"/>
      <c r="J40" s="69"/>
      <c r="K40" s="69"/>
      <c r="L40" s="51" t="s">
        <v>53</v>
      </c>
      <c r="M40" s="51" t="s">
        <v>54</v>
      </c>
      <c r="N40" s="51" t="s">
        <v>55</v>
      </c>
      <c r="O40" s="51" t="s">
        <v>56</v>
      </c>
      <c r="P40" s="51" t="s">
        <v>57</v>
      </c>
      <c r="Q40" s="51" t="s">
        <v>58</v>
      </c>
      <c r="R40" s="64" t="s">
        <v>59</v>
      </c>
      <c r="S40" s="65" t="s">
        <v>60</v>
      </c>
    </row>
    <row r="41" spans="1:24" x14ac:dyDescent="0.2">
      <c r="A41" s="59" t="str">
        <f t="shared" si="27"/>
        <v>WISE &amp; Healthy Aging</v>
      </c>
      <c r="B41" s="59" t="str">
        <f t="shared" si="28"/>
        <v>Peer Counseling</v>
      </c>
      <c r="D41" s="59" t="s">
        <v>85</v>
      </c>
      <c r="E41" s="29" t="s">
        <v>102</v>
      </c>
      <c r="F41" s="237" t="s">
        <v>105</v>
      </c>
      <c r="G41" s="238"/>
      <c r="H41" s="47"/>
      <c r="I41" s="47"/>
      <c r="J41" s="47"/>
      <c r="K41" s="47"/>
      <c r="L41" s="239">
        <v>11208</v>
      </c>
      <c r="M41" s="239">
        <v>6325</v>
      </c>
      <c r="N41" s="231">
        <f t="shared" ref="N41" si="29">L41-M41</f>
        <v>4883</v>
      </c>
      <c r="O41" s="268">
        <v>3211.2</v>
      </c>
      <c r="P41" s="268">
        <v>3114</v>
      </c>
      <c r="Q41" s="50">
        <f t="shared" ref="Q41:Q45" si="30">SUM(O41:P41)</f>
        <v>6325.2</v>
      </c>
      <c r="R41" s="48">
        <f t="shared" ref="R41:R45" si="31">IFERROR(Q41/M41,"N/A")</f>
        <v>1.0000316205533597</v>
      </c>
      <c r="S41" s="269">
        <v>8833</v>
      </c>
    </row>
    <row r="42" spans="1:24" x14ac:dyDescent="0.2">
      <c r="A42" s="59" t="str">
        <f t="shared" si="27"/>
        <v>WISE &amp; Healthy Aging</v>
      </c>
      <c r="B42" s="59" t="str">
        <f t="shared" si="28"/>
        <v>Peer Counseling</v>
      </c>
      <c r="D42" s="59" t="s">
        <v>85</v>
      </c>
      <c r="E42" s="29" t="s">
        <v>102</v>
      </c>
      <c r="F42" s="240" t="s">
        <v>106</v>
      </c>
      <c r="G42" s="238"/>
      <c r="H42" s="46"/>
      <c r="I42" s="47"/>
      <c r="J42" s="47"/>
      <c r="K42" s="47"/>
      <c r="L42" s="239">
        <v>1612</v>
      </c>
      <c r="M42" s="239">
        <v>910</v>
      </c>
      <c r="N42" s="232">
        <f t="shared" ref="N42:N46" si="32">L42-M42</f>
        <v>702</v>
      </c>
      <c r="O42" s="268">
        <v>320.7</v>
      </c>
      <c r="P42" s="268">
        <v>313</v>
      </c>
      <c r="Q42" s="50">
        <f t="shared" si="30"/>
        <v>633.70000000000005</v>
      </c>
      <c r="R42" s="48">
        <f t="shared" si="31"/>
        <v>0.69637362637362643</v>
      </c>
      <c r="S42" s="269">
        <v>1430</v>
      </c>
    </row>
    <row r="43" spans="1:24" x14ac:dyDescent="0.2">
      <c r="A43" s="59" t="str">
        <f t="shared" si="27"/>
        <v>WISE &amp; Healthy Aging</v>
      </c>
      <c r="B43" s="59" t="str">
        <f t="shared" si="28"/>
        <v>Peer Counseling</v>
      </c>
      <c r="D43" s="59" t="s">
        <v>85</v>
      </c>
      <c r="E43" s="29" t="s">
        <v>102</v>
      </c>
      <c r="F43" s="240" t="s">
        <v>107</v>
      </c>
      <c r="G43" s="238"/>
      <c r="H43" s="46"/>
      <c r="I43" s="47"/>
      <c r="J43" s="47"/>
      <c r="K43" s="47"/>
      <c r="L43" s="239">
        <v>1931</v>
      </c>
      <c r="M43" s="239">
        <v>464</v>
      </c>
      <c r="N43" s="232">
        <f t="shared" si="32"/>
        <v>1467</v>
      </c>
      <c r="O43" s="268">
        <v>269.5</v>
      </c>
      <c r="P43" s="268">
        <v>228</v>
      </c>
      <c r="Q43" s="50">
        <f t="shared" si="30"/>
        <v>497.5</v>
      </c>
      <c r="R43" s="48">
        <f t="shared" si="31"/>
        <v>1.072198275862069</v>
      </c>
      <c r="S43" s="269">
        <v>950</v>
      </c>
    </row>
    <row r="44" spans="1:24" x14ac:dyDescent="0.2">
      <c r="A44" s="59" t="str">
        <f t="shared" si="27"/>
        <v>WISE &amp; Healthy Aging</v>
      </c>
      <c r="B44" s="59" t="str">
        <f t="shared" si="28"/>
        <v>Peer Counseling</v>
      </c>
      <c r="D44" s="59" t="s">
        <v>85</v>
      </c>
      <c r="E44" s="29" t="s">
        <v>102</v>
      </c>
      <c r="F44" s="240" t="s">
        <v>108</v>
      </c>
      <c r="G44" s="238"/>
      <c r="H44" s="46"/>
      <c r="I44" s="47"/>
      <c r="J44" s="47"/>
      <c r="K44" s="47"/>
      <c r="L44" s="239">
        <v>7256</v>
      </c>
      <c r="M44" s="239">
        <v>544</v>
      </c>
      <c r="N44" s="232">
        <f t="shared" si="32"/>
        <v>6712</v>
      </c>
      <c r="O44" s="268">
        <v>0</v>
      </c>
      <c r="P44" s="268">
        <v>421</v>
      </c>
      <c r="Q44" s="50">
        <f t="shared" si="30"/>
        <v>421</v>
      </c>
      <c r="R44" s="48">
        <f t="shared" si="31"/>
        <v>0.77389705882352944</v>
      </c>
      <c r="S44" s="269">
        <v>9295</v>
      </c>
    </row>
    <row r="45" spans="1:24" x14ac:dyDescent="0.2">
      <c r="A45" s="59" t="str">
        <f t="shared" si="27"/>
        <v>WISE &amp; Healthy Aging</v>
      </c>
      <c r="B45" s="59" t="str">
        <f t="shared" si="28"/>
        <v>Peer Counseling</v>
      </c>
      <c r="D45" s="59" t="s">
        <v>85</v>
      </c>
      <c r="E45" s="29" t="s">
        <v>102</v>
      </c>
      <c r="F45" s="240" t="s">
        <v>109</v>
      </c>
      <c r="G45" s="238"/>
      <c r="H45" s="46"/>
      <c r="I45" s="47"/>
      <c r="J45" s="47"/>
      <c r="K45" s="47"/>
      <c r="L45" s="239">
        <v>1099</v>
      </c>
      <c r="M45" s="239">
        <v>1099</v>
      </c>
      <c r="N45" s="232">
        <f t="shared" si="32"/>
        <v>0</v>
      </c>
      <c r="O45" s="268">
        <v>583.35</v>
      </c>
      <c r="P45" s="268">
        <v>689</v>
      </c>
      <c r="Q45" s="50">
        <f t="shared" si="30"/>
        <v>1272.3499999999999</v>
      </c>
      <c r="R45" s="48">
        <f t="shared" si="31"/>
        <v>1.1577343039126478</v>
      </c>
      <c r="S45" s="269">
        <v>1424</v>
      </c>
    </row>
    <row r="46" spans="1:24" x14ac:dyDescent="0.2">
      <c r="A46" s="59" t="str">
        <f t="shared" si="27"/>
        <v>WISE &amp; Healthy Aging</v>
      </c>
      <c r="B46" s="59" t="str">
        <f t="shared" si="28"/>
        <v>Peer Counseling</v>
      </c>
      <c r="D46" s="59" t="s">
        <v>85</v>
      </c>
      <c r="E46" s="29" t="s">
        <v>102</v>
      </c>
      <c r="F46" s="240"/>
      <c r="G46" s="238"/>
      <c r="H46" s="46"/>
      <c r="I46" s="47"/>
      <c r="J46" s="47"/>
      <c r="K46" s="47"/>
      <c r="L46" s="239">
        <v>0</v>
      </c>
      <c r="M46" s="239">
        <v>0</v>
      </c>
      <c r="N46" s="232">
        <f t="shared" si="32"/>
        <v>0</v>
      </c>
      <c r="O46" s="268">
        <v>0</v>
      </c>
      <c r="P46" s="270">
        <v>0</v>
      </c>
      <c r="Q46" s="45">
        <f t="shared" ref="Q46" si="33">SUM(O46:P46)</f>
        <v>0</v>
      </c>
      <c r="R46" s="44" t="str">
        <f t="shared" ref="R46" si="34">IFERROR(Q46/M46,"N/A")</f>
        <v>N/A</v>
      </c>
      <c r="S46" s="271">
        <v>0</v>
      </c>
    </row>
    <row r="47" spans="1:24" ht="13.5" thickBot="1" x14ac:dyDescent="0.25">
      <c r="F47" s="70"/>
      <c r="G47" s="66"/>
      <c r="H47" s="71" t="s">
        <v>110</v>
      </c>
      <c r="I47" s="72"/>
      <c r="J47" s="72"/>
      <c r="K47" s="73"/>
      <c r="L47" s="74">
        <f t="shared" ref="L47:Q47" si="35">SUM(L41:L46)</f>
        <v>23106</v>
      </c>
      <c r="M47" s="74">
        <f t="shared" si="35"/>
        <v>9342</v>
      </c>
      <c r="N47" s="74">
        <f t="shared" si="35"/>
        <v>13764</v>
      </c>
      <c r="O47" s="74">
        <f t="shared" si="35"/>
        <v>4384.75</v>
      </c>
      <c r="P47" s="74">
        <f t="shared" si="35"/>
        <v>4765</v>
      </c>
      <c r="Q47" s="74">
        <f t="shared" si="35"/>
        <v>9149.75</v>
      </c>
      <c r="R47" s="75">
        <f>IFERROR(Q47/M47,"N/A")</f>
        <v>0.97942089488332262</v>
      </c>
      <c r="S47" s="76">
        <f>SUM(S41:S46)</f>
        <v>21932</v>
      </c>
    </row>
    <row r="48" spans="1:24" ht="13.5" thickBot="1" x14ac:dyDescent="0.25">
      <c r="F48" s="43"/>
      <c r="G48" s="43"/>
      <c r="H48" s="43"/>
      <c r="I48" s="43"/>
      <c r="J48" s="43"/>
      <c r="K48" s="43"/>
    </row>
    <row r="49" spans="1:24" s="82" customFormat="1" x14ac:dyDescent="0.2">
      <c r="A49" s="59"/>
      <c r="B49" s="59"/>
      <c r="C49" s="77"/>
      <c r="D49" s="77"/>
      <c r="E49" s="86"/>
      <c r="F49" s="19" t="s">
        <v>111</v>
      </c>
      <c r="G49" s="18"/>
      <c r="H49" s="18"/>
      <c r="I49" s="18"/>
      <c r="J49" s="18"/>
      <c r="K49" s="17"/>
      <c r="L49" s="16"/>
      <c r="M49" s="16"/>
      <c r="N49" s="16"/>
      <c r="O49" s="16"/>
      <c r="P49" s="16"/>
      <c r="Q49" s="16"/>
      <c r="R49" s="15"/>
      <c r="S49" s="14"/>
      <c r="T49" s="282"/>
      <c r="U49" s="282"/>
      <c r="V49" s="282"/>
      <c r="W49" s="282"/>
      <c r="X49" s="282"/>
    </row>
    <row r="50" spans="1:24" s="82" customFormat="1" x14ac:dyDescent="0.2">
      <c r="A50" s="59"/>
      <c r="B50" s="59"/>
      <c r="C50" s="77"/>
      <c r="D50" s="77"/>
      <c r="E50" s="86"/>
      <c r="F50" s="87" t="s">
        <v>112</v>
      </c>
      <c r="G50" s="88"/>
      <c r="H50" s="88"/>
      <c r="I50" s="88"/>
      <c r="J50" s="88"/>
      <c r="K50" s="80"/>
      <c r="L50" s="22"/>
      <c r="M50" s="22"/>
      <c r="N50" s="22"/>
      <c r="O50" s="22"/>
      <c r="P50" s="22"/>
      <c r="Q50" s="22"/>
      <c r="R50" s="21"/>
      <c r="S50" s="20"/>
      <c r="T50" s="282"/>
      <c r="U50" s="282"/>
      <c r="V50" s="282"/>
      <c r="W50" s="282"/>
      <c r="X50" s="282"/>
    </row>
    <row r="51" spans="1:24" x14ac:dyDescent="0.2">
      <c r="F51" s="87" t="s">
        <v>113</v>
      </c>
      <c r="G51" s="88"/>
      <c r="H51" s="88"/>
      <c r="I51" s="88"/>
      <c r="J51" s="88"/>
      <c r="K51" s="80"/>
      <c r="L51" s="22"/>
      <c r="M51" s="22"/>
      <c r="N51" s="22"/>
      <c r="O51" s="22"/>
      <c r="P51" s="22"/>
      <c r="Q51" s="22"/>
      <c r="R51" s="21"/>
      <c r="S51" s="20"/>
    </row>
    <row r="52" spans="1:24" ht="33.75" x14ac:dyDescent="0.2">
      <c r="F52" s="67" t="s">
        <v>104</v>
      </c>
      <c r="G52" s="68"/>
      <c r="H52" s="69"/>
      <c r="I52" s="69"/>
      <c r="J52" s="69"/>
      <c r="K52" s="69"/>
      <c r="L52" s="51" t="s">
        <v>53</v>
      </c>
      <c r="M52" s="51" t="s">
        <v>54</v>
      </c>
      <c r="N52" s="51" t="s">
        <v>55</v>
      </c>
      <c r="O52" s="51" t="s">
        <v>56</v>
      </c>
      <c r="P52" s="51" t="s">
        <v>57</v>
      </c>
      <c r="Q52" s="51" t="s">
        <v>58</v>
      </c>
      <c r="R52" s="64" t="s">
        <v>59</v>
      </c>
      <c r="S52" s="65" t="s">
        <v>60</v>
      </c>
    </row>
    <row r="53" spans="1:24" x14ac:dyDescent="0.2">
      <c r="A53" s="59" t="str">
        <f t="shared" ref="A53:A56" si="36">$G$7</f>
        <v>WISE &amp; Healthy Aging</v>
      </c>
      <c r="B53" s="59" t="str">
        <f t="shared" ref="B53:B56" si="37">$G$8</f>
        <v>Peer Counseling</v>
      </c>
      <c r="D53" s="59" t="s">
        <v>85</v>
      </c>
      <c r="E53" s="29" t="s">
        <v>111</v>
      </c>
      <c r="F53" s="237" t="s">
        <v>114</v>
      </c>
      <c r="G53" s="238"/>
      <c r="H53" s="46"/>
      <c r="I53" s="47"/>
      <c r="J53" s="47"/>
      <c r="K53" s="47"/>
      <c r="L53" s="230">
        <v>1426</v>
      </c>
      <c r="M53" s="231">
        <v>0</v>
      </c>
      <c r="N53" s="231">
        <f>L53-M53</f>
        <v>1426</v>
      </c>
      <c r="O53" s="268">
        <v>0</v>
      </c>
      <c r="P53" s="268">
        <v>0</v>
      </c>
      <c r="Q53" s="50">
        <f t="shared" ref="Q53:Q55" si="38">SUM(O53:P53)</f>
        <v>0</v>
      </c>
      <c r="R53" s="48" t="str">
        <f t="shared" ref="R53:R55" si="39">IFERROR(Q53/M53,"N/A")</f>
        <v>N/A</v>
      </c>
      <c r="S53" s="269">
        <v>1426</v>
      </c>
    </row>
    <row r="54" spans="1:24" x14ac:dyDescent="0.2">
      <c r="A54" s="59" t="str">
        <f t="shared" si="36"/>
        <v>WISE &amp; Healthy Aging</v>
      </c>
      <c r="B54" s="59" t="str">
        <f t="shared" si="37"/>
        <v>Peer Counseling</v>
      </c>
      <c r="D54" s="59" t="s">
        <v>85</v>
      </c>
      <c r="E54" s="29" t="s">
        <v>111</v>
      </c>
      <c r="F54" s="240" t="s">
        <v>115</v>
      </c>
      <c r="G54" s="238"/>
      <c r="H54" s="46"/>
      <c r="I54" s="47"/>
      <c r="J54" s="47"/>
      <c r="K54" s="47"/>
      <c r="L54" s="230">
        <v>454</v>
      </c>
      <c r="M54" s="231">
        <v>0</v>
      </c>
      <c r="N54" s="232">
        <f t="shared" ref="N54:N56" si="40">L54-M54</f>
        <v>454</v>
      </c>
      <c r="O54" s="268">
        <v>0</v>
      </c>
      <c r="P54" s="270">
        <v>0</v>
      </c>
      <c r="Q54" s="50">
        <f t="shared" si="38"/>
        <v>0</v>
      </c>
      <c r="R54" s="48" t="str">
        <f t="shared" si="39"/>
        <v>N/A</v>
      </c>
      <c r="S54" s="269">
        <v>449</v>
      </c>
    </row>
    <row r="55" spans="1:24" x14ac:dyDescent="0.2">
      <c r="A55" s="59" t="str">
        <f t="shared" si="36"/>
        <v>WISE &amp; Healthy Aging</v>
      </c>
      <c r="B55" s="59" t="str">
        <f t="shared" si="37"/>
        <v>Peer Counseling</v>
      </c>
      <c r="D55" s="59" t="s">
        <v>85</v>
      </c>
      <c r="E55" s="29" t="s">
        <v>111</v>
      </c>
      <c r="F55" s="240" t="s">
        <v>116</v>
      </c>
      <c r="G55" s="238"/>
      <c r="H55" s="46"/>
      <c r="I55" s="47"/>
      <c r="J55" s="47"/>
      <c r="K55" s="47"/>
      <c r="L55" s="253">
        <f>317682-249682</f>
        <v>68000</v>
      </c>
      <c r="M55" s="242">
        <v>750</v>
      </c>
      <c r="N55" s="242">
        <f t="shared" si="40"/>
        <v>67250</v>
      </c>
      <c r="O55" s="272">
        <v>0</v>
      </c>
      <c r="P55" s="272">
        <v>750</v>
      </c>
      <c r="Q55" s="50">
        <f t="shared" si="38"/>
        <v>750</v>
      </c>
      <c r="R55" s="48">
        <f t="shared" si="39"/>
        <v>1</v>
      </c>
      <c r="S55" s="269">
        <v>65420</v>
      </c>
    </row>
    <row r="56" spans="1:24" x14ac:dyDescent="0.2">
      <c r="A56" s="59" t="str">
        <f t="shared" si="36"/>
        <v>WISE &amp; Healthy Aging</v>
      </c>
      <c r="B56" s="59" t="str">
        <f t="shared" si="37"/>
        <v>Peer Counseling</v>
      </c>
      <c r="D56" s="59" t="s">
        <v>85</v>
      </c>
      <c r="E56" s="29" t="s">
        <v>111</v>
      </c>
      <c r="F56" s="240"/>
      <c r="G56" s="238"/>
      <c r="H56" s="46"/>
      <c r="I56" s="47"/>
      <c r="J56" s="47"/>
      <c r="K56" s="47"/>
      <c r="L56" s="239">
        <v>0</v>
      </c>
      <c r="M56" s="242">
        <v>0</v>
      </c>
      <c r="N56" s="242">
        <f t="shared" si="40"/>
        <v>0</v>
      </c>
      <c r="O56" s="272">
        <v>0</v>
      </c>
      <c r="P56" s="272">
        <v>0</v>
      </c>
      <c r="Q56" s="45">
        <f t="shared" ref="Q56" si="41">SUM(O56:P56)</f>
        <v>0</v>
      </c>
      <c r="R56" s="44" t="str">
        <f t="shared" ref="R56" si="42">IFERROR(Q56/M56,"N/A")</f>
        <v>N/A</v>
      </c>
      <c r="S56" s="271">
        <v>0</v>
      </c>
    </row>
    <row r="57" spans="1:24" ht="13.5" thickBot="1" x14ac:dyDescent="0.25">
      <c r="F57" s="70"/>
      <c r="G57" s="66"/>
      <c r="H57" s="71" t="s">
        <v>117</v>
      </c>
      <c r="I57" s="72"/>
      <c r="J57" s="72"/>
      <c r="K57" s="73"/>
      <c r="L57" s="74">
        <f t="shared" ref="L57:Q57" si="43">SUM(L53:L56)</f>
        <v>69880</v>
      </c>
      <c r="M57" s="74">
        <f t="shared" si="43"/>
        <v>750</v>
      </c>
      <c r="N57" s="74">
        <f t="shared" si="43"/>
        <v>69130</v>
      </c>
      <c r="O57" s="74">
        <f t="shared" si="43"/>
        <v>0</v>
      </c>
      <c r="P57" s="74">
        <f t="shared" si="43"/>
        <v>750</v>
      </c>
      <c r="Q57" s="74">
        <f t="shared" si="43"/>
        <v>750</v>
      </c>
      <c r="R57" s="75">
        <f>IFERROR(Q57/M57,"N/A")</f>
        <v>1</v>
      </c>
      <c r="S57" s="76">
        <f>SUM(S53:S56)</f>
        <v>67295</v>
      </c>
    </row>
    <row r="58" spans="1:24" ht="13.5" thickBot="1" x14ac:dyDescent="0.25">
      <c r="F58" s="43"/>
      <c r="G58" s="43"/>
      <c r="H58" s="43"/>
      <c r="I58" s="43"/>
      <c r="J58" s="43"/>
      <c r="K58" s="43"/>
    </row>
    <row r="59" spans="1:24" s="82" customFormat="1" x14ac:dyDescent="0.2">
      <c r="A59" s="59"/>
      <c r="B59" s="59"/>
      <c r="C59" s="77"/>
      <c r="D59" s="77"/>
      <c r="E59" s="86"/>
      <c r="F59" s="19" t="s">
        <v>118</v>
      </c>
      <c r="G59" s="18"/>
      <c r="H59" s="18"/>
      <c r="I59" s="18"/>
      <c r="J59" s="18"/>
      <c r="K59" s="17"/>
      <c r="L59" s="16"/>
      <c r="M59" s="16"/>
      <c r="N59" s="16"/>
      <c r="O59" s="16"/>
      <c r="P59" s="16"/>
      <c r="Q59" s="16"/>
      <c r="R59" s="15"/>
      <c r="S59" s="14"/>
      <c r="T59" s="282"/>
      <c r="U59" s="282"/>
      <c r="V59" s="282"/>
      <c r="W59" s="282"/>
      <c r="X59" s="282"/>
    </row>
    <row r="60" spans="1:24" x14ac:dyDescent="0.2">
      <c r="F60" s="87" t="s">
        <v>119</v>
      </c>
      <c r="G60" s="88"/>
      <c r="H60" s="88"/>
      <c r="I60" s="88"/>
      <c r="J60" s="88"/>
      <c r="K60" s="80"/>
      <c r="L60" s="22"/>
      <c r="M60" s="22"/>
      <c r="N60" s="22"/>
      <c r="O60" s="22"/>
      <c r="P60" s="22"/>
      <c r="Q60" s="22"/>
      <c r="R60" s="21"/>
      <c r="S60" s="20"/>
    </row>
    <row r="61" spans="1:24" ht="33.75" x14ac:dyDescent="0.2">
      <c r="F61" s="67" t="s">
        <v>104</v>
      </c>
      <c r="G61" s="68"/>
      <c r="H61" s="69"/>
      <c r="I61" s="69"/>
      <c r="J61" s="69"/>
      <c r="K61" s="69"/>
      <c r="L61" s="51" t="s">
        <v>53</v>
      </c>
      <c r="M61" s="51" t="s">
        <v>54</v>
      </c>
      <c r="N61" s="51" t="s">
        <v>55</v>
      </c>
      <c r="O61" s="51" t="s">
        <v>56</v>
      </c>
      <c r="P61" s="51" t="s">
        <v>57</v>
      </c>
      <c r="Q61" s="51" t="s">
        <v>58</v>
      </c>
      <c r="R61" s="64" t="s">
        <v>59</v>
      </c>
      <c r="S61" s="65" t="s">
        <v>60</v>
      </c>
    </row>
    <row r="62" spans="1:24" x14ac:dyDescent="0.2">
      <c r="A62" s="59" t="str">
        <f t="shared" ref="A62:A65" si="44">$G$7</f>
        <v>WISE &amp; Healthy Aging</v>
      </c>
      <c r="B62" s="59" t="str">
        <f t="shared" ref="B62:B65" si="45">$G$8</f>
        <v>Peer Counseling</v>
      </c>
      <c r="D62" s="59" t="s">
        <v>85</v>
      </c>
      <c r="E62" s="29" t="s">
        <v>118</v>
      </c>
      <c r="F62" s="237" t="s">
        <v>120</v>
      </c>
      <c r="G62" s="238"/>
      <c r="H62" s="46"/>
      <c r="I62" s="47"/>
      <c r="J62" s="47"/>
      <c r="K62" s="47"/>
      <c r="L62" s="242">
        <v>5408</v>
      </c>
      <c r="M62" s="231">
        <v>0</v>
      </c>
      <c r="N62" s="231">
        <f t="shared" ref="N62:N64" si="46">L62-M62</f>
        <v>5408</v>
      </c>
      <c r="O62" s="268">
        <v>0</v>
      </c>
      <c r="P62" s="268">
        <v>0</v>
      </c>
      <c r="Q62" s="50">
        <f t="shared" ref="Q62:Q64" si="47">SUM(O62:P62)</f>
        <v>0</v>
      </c>
      <c r="R62" s="48" t="str">
        <f t="shared" ref="R62:R64" si="48">IFERROR(Q62/M62,"N/A")</f>
        <v>N/A</v>
      </c>
      <c r="S62" s="269">
        <v>5176</v>
      </c>
    </row>
    <row r="63" spans="1:24" x14ac:dyDescent="0.2">
      <c r="A63" s="59" t="str">
        <f t="shared" si="44"/>
        <v>WISE &amp; Healthy Aging</v>
      </c>
      <c r="B63" s="59" t="str">
        <f t="shared" si="45"/>
        <v>Peer Counseling</v>
      </c>
      <c r="D63" s="59" t="s">
        <v>85</v>
      </c>
      <c r="E63" s="29" t="s">
        <v>118</v>
      </c>
      <c r="F63" s="240" t="s">
        <v>121</v>
      </c>
      <c r="G63" s="238"/>
      <c r="H63" s="46"/>
      <c r="I63" s="47"/>
      <c r="J63" s="47"/>
      <c r="K63" s="47"/>
      <c r="L63" s="242">
        <v>573</v>
      </c>
      <c r="M63" s="231">
        <v>0</v>
      </c>
      <c r="N63" s="232">
        <f t="shared" si="46"/>
        <v>573</v>
      </c>
      <c r="O63" s="268">
        <v>0</v>
      </c>
      <c r="P63" s="268">
        <v>0</v>
      </c>
      <c r="Q63" s="50">
        <f t="shared" si="47"/>
        <v>0</v>
      </c>
      <c r="R63" s="48" t="str">
        <f t="shared" si="48"/>
        <v>N/A</v>
      </c>
      <c r="S63" s="269">
        <v>410</v>
      </c>
    </row>
    <row r="64" spans="1:24" x14ac:dyDescent="0.2">
      <c r="A64" s="59" t="str">
        <f t="shared" si="44"/>
        <v>WISE &amp; Healthy Aging</v>
      </c>
      <c r="B64" s="59" t="str">
        <f t="shared" si="45"/>
        <v>Peer Counseling</v>
      </c>
      <c r="D64" s="59" t="s">
        <v>85</v>
      </c>
      <c r="E64" s="29" t="s">
        <v>118</v>
      </c>
      <c r="F64" s="240" t="s">
        <v>122</v>
      </c>
      <c r="G64" s="238"/>
      <c r="H64" s="46"/>
      <c r="I64" s="47"/>
      <c r="J64" s="47"/>
      <c r="K64" s="47"/>
      <c r="L64" s="242">
        <v>1037</v>
      </c>
      <c r="M64" s="231">
        <v>0</v>
      </c>
      <c r="N64" s="231">
        <f t="shared" si="46"/>
        <v>1037</v>
      </c>
      <c r="O64" s="268">
        <v>0</v>
      </c>
      <c r="P64" s="268">
        <v>0</v>
      </c>
      <c r="Q64" s="50">
        <f t="shared" si="47"/>
        <v>0</v>
      </c>
      <c r="R64" s="48" t="str">
        <f t="shared" si="48"/>
        <v>N/A</v>
      </c>
      <c r="S64" s="269">
        <v>700</v>
      </c>
    </row>
    <row r="65" spans="1:24" x14ac:dyDescent="0.2">
      <c r="A65" s="59" t="str">
        <f t="shared" si="44"/>
        <v>WISE &amp; Healthy Aging</v>
      </c>
      <c r="B65" s="59" t="str">
        <f t="shared" si="45"/>
        <v>Peer Counseling</v>
      </c>
      <c r="D65" s="59" t="s">
        <v>85</v>
      </c>
      <c r="E65" s="29" t="s">
        <v>118</v>
      </c>
      <c r="F65" s="240"/>
      <c r="G65" s="238"/>
      <c r="H65" s="46"/>
      <c r="I65" s="47"/>
      <c r="J65" s="47"/>
      <c r="K65" s="47"/>
      <c r="L65" s="242">
        <v>0</v>
      </c>
      <c r="M65" s="242">
        <v>0</v>
      </c>
      <c r="N65" s="242">
        <f t="shared" ref="N65" si="49">L65-M65</f>
        <v>0</v>
      </c>
      <c r="O65" s="272">
        <v>0</v>
      </c>
      <c r="P65" s="272">
        <v>0</v>
      </c>
      <c r="Q65" s="45">
        <f t="shared" ref="Q65" si="50">SUM(O65:P65)</f>
        <v>0</v>
      </c>
      <c r="R65" s="44" t="str">
        <f t="shared" ref="R65" si="51">IFERROR(Q65/M65,"N/A")</f>
        <v>N/A</v>
      </c>
      <c r="S65" s="271">
        <v>0</v>
      </c>
    </row>
    <row r="66" spans="1:24" ht="13.5" thickBot="1" x14ac:dyDescent="0.25">
      <c r="E66" s="43"/>
      <c r="F66" s="70"/>
      <c r="G66" s="66"/>
      <c r="H66" s="71" t="s">
        <v>123</v>
      </c>
      <c r="I66" s="72"/>
      <c r="J66" s="72"/>
      <c r="K66" s="73"/>
      <c r="L66" s="74">
        <f t="shared" ref="L66:Q66" si="52">SUM(L62:L65)</f>
        <v>7018</v>
      </c>
      <c r="M66" s="74">
        <f t="shared" si="52"/>
        <v>0</v>
      </c>
      <c r="N66" s="74">
        <f t="shared" si="52"/>
        <v>7018</v>
      </c>
      <c r="O66" s="74">
        <f t="shared" si="52"/>
        <v>0</v>
      </c>
      <c r="P66" s="74">
        <f t="shared" si="52"/>
        <v>0</v>
      </c>
      <c r="Q66" s="74">
        <f t="shared" si="52"/>
        <v>0</v>
      </c>
      <c r="R66" s="75" t="str">
        <f>IFERROR(Q66/M66,"N/A")</f>
        <v>N/A</v>
      </c>
      <c r="S66" s="76">
        <f>SUM(S62:S65)</f>
        <v>6286</v>
      </c>
    </row>
    <row r="67" spans="1:24" ht="13.5" thickBot="1" x14ac:dyDescent="0.25">
      <c r="F67" s="43"/>
      <c r="G67" s="43"/>
      <c r="H67" s="43"/>
      <c r="I67" s="43"/>
      <c r="J67" s="43"/>
      <c r="K67" s="43"/>
    </row>
    <row r="68" spans="1:24" s="82" customFormat="1" x14ac:dyDescent="0.2">
      <c r="A68" s="59"/>
      <c r="B68" s="59"/>
      <c r="C68" s="77"/>
      <c r="D68" s="77"/>
      <c r="E68" s="86"/>
      <c r="F68" s="19" t="s">
        <v>124</v>
      </c>
      <c r="G68" s="18"/>
      <c r="H68" s="18"/>
      <c r="I68" s="18"/>
      <c r="J68" s="18"/>
      <c r="K68" s="17"/>
      <c r="L68" s="16"/>
      <c r="M68" s="16"/>
      <c r="N68" s="16"/>
      <c r="O68" s="16"/>
      <c r="P68" s="16"/>
      <c r="Q68" s="16"/>
      <c r="R68" s="15"/>
      <c r="S68" s="14"/>
      <c r="T68" s="282"/>
      <c r="U68" s="282"/>
      <c r="V68" s="282"/>
      <c r="W68" s="282"/>
      <c r="X68" s="282"/>
    </row>
    <row r="69" spans="1:24" x14ac:dyDescent="0.2">
      <c r="F69" s="87" t="s">
        <v>125</v>
      </c>
      <c r="G69" s="88"/>
      <c r="H69" s="88"/>
      <c r="I69" s="88"/>
      <c r="J69" s="88"/>
      <c r="K69" s="80"/>
      <c r="L69" s="22"/>
      <c r="M69" s="22"/>
      <c r="N69" s="22"/>
      <c r="O69" s="22"/>
      <c r="P69" s="22"/>
      <c r="Q69" s="22"/>
      <c r="R69" s="21"/>
      <c r="S69" s="20"/>
    </row>
    <row r="70" spans="1:24" ht="33.75" x14ac:dyDescent="0.2">
      <c r="F70" s="67" t="s">
        <v>104</v>
      </c>
      <c r="G70" s="68"/>
      <c r="H70" s="69"/>
      <c r="I70" s="69"/>
      <c r="J70" s="69"/>
      <c r="K70" s="69"/>
      <c r="L70" s="51" t="s">
        <v>53</v>
      </c>
      <c r="M70" s="51" t="s">
        <v>54</v>
      </c>
      <c r="N70" s="51" t="s">
        <v>55</v>
      </c>
      <c r="O70" s="51" t="s">
        <v>56</v>
      </c>
      <c r="P70" s="51" t="s">
        <v>57</v>
      </c>
      <c r="Q70" s="51" t="s">
        <v>58</v>
      </c>
      <c r="R70" s="64" t="s">
        <v>59</v>
      </c>
      <c r="S70" s="65" t="s">
        <v>60</v>
      </c>
    </row>
    <row r="71" spans="1:24" x14ac:dyDescent="0.2">
      <c r="A71" s="59" t="str">
        <f t="shared" ref="A71:A72" si="53">$G$7</f>
        <v>WISE &amp; Healthy Aging</v>
      </c>
      <c r="B71" s="59" t="str">
        <f t="shared" ref="B71:B72" si="54">$G$8</f>
        <v>Peer Counseling</v>
      </c>
      <c r="D71" s="59" t="s">
        <v>85</v>
      </c>
      <c r="E71" s="29" t="s">
        <v>124</v>
      </c>
      <c r="F71" s="237"/>
      <c r="G71" s="238"/>
      <c r="H71" s="46"/>
      <c r="I71" s="47"/>
      <c r="J71" s="47"/>
      <c r="K71" s="47"/>
      <c r="L71" s="242">
        <v>0</v>
      </c>
      <c r="M71" s="231">
        <v>0</v>
      </c>
      <c r="N71" s="231">
        <f t="shared" ref="N71:N72" si="55">L71-M71</f>
        <v>0</v>
      </c>
      <c r="O71" s="268">
        <v>0</v>
      </c>
      <c r="P71" s="268">
        <v>0</v>
      </c>
      <c r="Q71" s="50">
        <f t="shared" ref="Q71" si="56">SUM(O71:P71)</f>
        <v>0</v>
      </c>
      <c r="R71" s="48" t="str">
        <f t="shared" ref="R71" si="57">IFERROR(Q71/M71,"N/A")</f>
        <v>N/A</v>
      </c>
      <c r="S71" s="269">
        <v>0</v>
      </c>
    </row>
    <row r="72" spans="1:24" x14ac:dyDescent="0.2">
      <c r="A72" s="59" t="str">
        <f t="shared" si="53"/>
        <v>WISE &amp; Healthy Aging</v>
      </c>
      <c r="B72" s="59" t="str">
        <f t="shared" si="54"/>
        <v>Peer Counseling</v>
      </c>
      <c r="D72" s="59" t="s">
        <v>85</v>
      </c>
      <c r="E72" s="29" t="s">
        <v>124</v>
      </c>
      <c r="F72" s="240"/>
      <c r="G72" s="238"/>
      <c r="H72" s="46"/>
      <c r="I72" s="47"/>
      <c r="J72" s="47"/>
      <c r="K72" s="47"/>
      <c r="L72" s="242">
        <v>0</v>
      </c>
      <c r="M72" s="231">
        <v>0</v>
      </c>
      <c r="N72" s="232">
        <f t="shared" si="55"/>
        <v>0</v>
      </c>
      <c r="O72" s="268">
        <v>0</v>
      </c>
      <c r="P72" s="270">
        <v>0</v>
      </c>
      <c r="Q72" s="45">
        <f t="shared" ref="Q72" si="58">SUM(O72:P72)</f>
        <v>0</v>
      </c>
      <c r="R72" s="44" t="str">
        <f t="shared" ref="R72" si="59">IFERROR(Q72/M72,"N/A")</f>
        <v>N/A</v>
      </c>
      <c r="S72" s="271">
        <v>0</v>
      </c>
    </row>
    <row r="73" spans="1:24" ht="13.5" thickBot="1" x14ac:dyDescent="0.25">
      <c r="F73" s="70"/>
      <c r="G73" s="66"/>
      <c r="H73" s="71" t="s">
        <v>126</v>
      </c>
      <c r="I73" s="72"/>
      <c r="J73" s="72"/>
      <c r="K73" s="73"/>
      <c r="L73" s="74">
        <f t="shared" ref="L73:Q73" si="60">SUM(L71:L72)</f>
        <v>0</v>
      </c>
      <c r="M73" s="74">
        <f t="shared" si="60"/>
        <v>0</v>
      </c>
      <c r="N73" s="74">
        <f t="shared" si="60"/>
        <v>0</v>
      </c>
      <c r="O73" s="74">
        <f t="shared" si="60"/>
        <v>0</v>
      </c>
      <c r="P73" s="74">
        <f t="shared" si="60"/>
        <v>0</v>
      </c>
      <c r="Q73" s="74">
        <f t="shared" si="60"/>
        <v>0</v>
      </c>
      <c r="R73" s="75" t="str">
        <f>IFERROR(Q73/M73,"N/A")</f>
        <v>N/A</v>
      </c>
      <c r="S73" s="76">
        <f>SUM(S71:S72)</f>
        <v>0</v>
      </c>
    </row>
    <row r="74" spans="1:24" ht="13.5" thickBot="1" x14ac:dyDescent="0.25">
      <c r="F74" s="43"/>
      <c r="G74" s="43"/>
      <c r="H74" s="43"/>
      <c r="I74" s="43"/>
      <c r="J74" s="43"/>
      <c r="K74" s="43"/>
    </row>
    <row r="75" spans="1:24" s="82" customFormat="1" x14ac:dyDescent="0.2">
      <c r="A75" s="59"/>
      <c r="B75" s="59"/>
      <c r="C75" s="77"/>
      <c r="D75" s="77"/>
      <c r="E75" s="86"/>
      <c r="F75" s="19" t="s">
        <v>127</v>
      </c>
      <c r="G75" s="18"/>
      <c r="H75" s="18"/>
      <c r="I75" s="18"/>
      <c r="J75" s="18"/>
      <c r="K75" s="17"/>
      <c r="L75" s="16"/>
      <c r="M75" s="16"/>
      <c r="N75" s="16"/>
      <c r="O75" s="16"/>
      <c r="P75" s="16"/>
      <c r="Q75" s="16"/>
      <c r="R75" s="15"/>
      <c r="S75" s="14"/>
      <c r="T75" s="282"/>
      <c r="U75" s="282"/>
      <c r="V75" s="282"/>
      <c r="W75" s="282"/>
      <c r="X75" s="282"/>
    </row>
    <row r="76" spans="1:24" x14ac:dyDescent="0.2">
      <c r="F76" s="87" t="s">
        <v>128</v>
      </c>
      <c r="G76" s="88"/>
      <c r="H76" s="88"/>
      <c r="I76" s="88"/>
      <c r="J76" s="88"/>
      <c r="K76" s="80"/>
      <c r="L76" s="22"/>
      <c r="M76" s="22"/>
      <c r="N76" s="22"/>
      <c r="O76" s="22"/>
      <c r="P76" s="22"/>
      <c r="Q76" s="22"/>
      <c r="R76" s="21"/>
      <c r="S76" s="20"/>
    </row>
    <row r="77" spans="1:24" ht="33.75" x14ac:dyDescent="0.2">
      <c r="F77" s="67" t="s">
        <v>104</v>
      </c>
      <c r="G77" s="68"/>
      <c r="H77" s="69"/>
      <c r="I77" s="69"/>
      <c r="J77" s="69"/>
      <c r="K77" s="69"/>
      <c r="L77" s="51" t="s">
        <v>53</v>
      </c>
      <c r="M77" s="51" t="s">
        <v>54</v>
      </c>
      <c r="N77" s="51" t="s">
        <v>55</v>
      </c>
      <c r="O77" s="51" t="s">
        <v>56</v>
      </c>
      <c r="P77" s="51" t="s">
        <v>57</v>
      </c>
      <c r="Q77" s="51" t="s">
        <v>58</v>
      </c>
      <c r="R77" s="64" t="s">
        <v>59</v>
      </c>
      <c r="S77" s="65" t="s">
        <v>60</v>
      </c>
    </row>
    <row r="78" spans="1:24" x14ac:dyDescent="0.2">
      <c r="A78" s="59" t="str">
        <f t="shared" ref="A78:A81" si="61">$G$7</f>
        <v>WISE &amp; Healthy Aging</v>
      </c>
      <c r="B78" s="59" t="str">
        <f t="shared" ref="B78:B81" si="62">$G$8</f>
        <v>Peer Counseling</v>
      </c>
      <c r="D78" s="59" t="s">
        <v>85</v>
      </c>
      <c r="E78" s="29" t="s">
        <v>127</v>
      </c>
      <c r="F78" s="237" t="s">
        <v>129</v>
      </c>
      <c r="G78" s="238"/>
      <c r="H78" s="46"/>
      <c r="I78" s="47"/>
      <c r="J78" s="47"/>
      <c r="K78" s="47"/>
      <c r="L78" s="242">
        <v>464</v>
      </c>
      <c r="M78" s="231">
        <v>0</v>
      </c>
      <c r="N78" s="231">
        <f t="shared" ref="N78:N81" si="63">L78-M78</f>
        <v>464</v>
      </c>
      <c r="O78" s="268">
        <v>0</v>
      </c>
      <c r="P78" s="268">
        <v>0</v>
      </c>
      <c r="Q78" s="50">
        <f t="shared" ref="Q78:Q80" si="64">SUM(O78:P78)</f>
        <v>0</v>
      </c>
      <c r="R78" s="48" t="str">
        <f t="shared" ref="R78:R80" si="65">IFERROR(Q78/M78,"N/A")</f>
        <v>N/A</v>
      </c>
      <c r="S78" s="269">
        <f>35+35</f>
        <v>70</v>
      </c>
    </row>
    <row r="79" spans="1:24" x14ac:dyDescent="0.2">
      <c r="A79" s="59" t="str">
        <f t="shared" si="61"/>
        <v>WISE &amp; Healthy Aging</v>
      </c>
      <c r="B79" s="59" t="str">
        <f t="shared" si="62"/>
        <v>Peer Counseling</v>
      </c>
      <c r="D79" s="59" t="s">
        <v>85</v>
      </c>
      <c r="E79" s="29" t="s">
        <v>127</v>
      </c>
      <c r="F79" s="240" t="s">
        <v>130</v>
      </c>
      <c r="G79" s="238"/>
      <c r="H79" s="46"/>
      <c r="I79" s="47"/>
      <c r="J79" s="47"/>
      <c r="K79" s="47"/>
      <c r="L79" s="242">
        <v>250</v>
      </c>
      <c r="M79" s="231">
        <v>0</v>
      </c>
      <c r="N79" s="232">
        <f t="shared" si="63"/>
        <v>250</v>
      </c>
      <c r="O79" s="268">
        <v>0</v>
      </c>
      <c r="P79" s="268">
        <v>0</v>
      </c>
      <c r="Q79" s="50">
        <f t="shared" si="64"/>
        <v>0</v>
      </c>
      <c r="R79" s="48" t="str">
        <f t="shared" si="65"/>
        <v>N/A</v>
      </c>
      <c r="S79" s="269">
        <v>0</v>
      </c>
    </row>
    <row r="80" spans="1:24" x14ac:dyDescent="0.2">
      <c r="A80" s="59" t="str">
        <f t="shared" si="61"/>
        <v>WISE &amp; Healthy Aging</v>
      </c>
      <c r="B80" s="59" t="str">
        <f t="shared" si="62"/>
        <v>Peer Counseling</v>
      </c>
      <c r="D80" s="59" t="s">
        <v>85</v>
      </c>
      <c r="E80" s="29" t="s">
        <v>127</v>
      </c>
      <c r="F80" s="240" t="s">
        <v>131</v>
      </c>
      <c r="G80" s="238"/>
      <c r="H80" s="46"/>
      <c r="I80" s="47"/>
      <c r="J80" s="47"/>
      <c r="K80" s="47"/>
      <c r="L80" s="242">
        <v>246</v>
      </c>
      <c r="M80" s="231">
        <v>0</v>
      </c>
      <c r="N80" s="231">
        <f t="shared" si="63"/>
        <v>246</v>
      </c>
      <c r="O80" s="268">
        <v>0</v>
      </c>
      <c r="P80" s="268">
        <v>0</v>
      </c>
      <c r="Q80" s="50">
        <f t="shared" si="64"/>
        <v>0</v>
      </c>
      <c r="R80" s="48" t="str">
        <f t="shared" si="65"/>
        <v>N/A</v>
      </c>
      <c r="S80" s="269">
        <f>59+59</f>
        <v>118</v>
      </c>
    </row>
    <row r="81" spans="1:24" x14ac:dyDescent="0.2">
      <c r="A81" s="59" t="str">
        <f t="shared" si="61"/>
        <v>WISE &amp; Healthy Aging</v>
      </c>
      <c r="B81" s="59" t="str">
        <f t="shared" si="62"/>
        <v>Peer Counseling</v>
      </c>
      <c r="D81" s="59" t="s">
        <v>85</v>
      </c>
      <c r="E81" s="29" t="s">
        <v>127</v>
      </c>
      <c r="F81" s="240"/>
      <c r="G81" s="238"/>
      <c r="H81" s="46"/>
      <c r="I81" s="47"/>
      <c r="J81" s="47"/>
      <c r="K81" s="47"/>
      <c r="L81" s="242">
        <v>0</v>
      </c>
      <c r="M81" s="231">
        <v>0</v>
      </c>
      <c r="N81" s="231">
        <f t="shared" si="63"/>
        <v>0</v>
      </c>
      <c r="O81" s="268">
        <v>0</v>
      </c>
      <c r="P81" s="268">
        <v>0</v>
      </c>
      <c r="Q81" s="49">
        <f t="shared" ref="Q81" si="66">SUM(O81:P81)</f>
        <v>0</v>
      </c>
      <c r="R81" s="48" t="str">
        <f t="shared" ref="R81" si="67">IFERROR(Q81/M81,"N/A")</f>
        <v>N/A</v>
      </c>
      <c r="S81" s="273">
        <v>0</v>
      </c>
    </row>
    <row r="82" spans="1:24" ht="13.5" thickBot="1" x14ac:dyDescent="0.25">
      <c r="F82" s="70"/>
      <c r="G82" s="66"/>
      <c r="H82" s="71" t="s">
        <v>132</v>
      </c>
      <c r="I82" s="72"/>
      <c r="J82" s="72"/>
      <c r="K82" s="73"/>
      <c r="L82" s="74">
        <f t="shared" ref="L82:Q82" si="68">SUM(L78:L81)</f>
        <v>960</v>
      </c>
      <c r="M82" s="74">
        <f t="shared" si="68"/>
        <v>0</v>
      </c>
      <c r="N82" s="74">
        <f t="shared" si="68"/>
        <v>960</v>
      </c>
      <c r="O82" s="74">
        <f t="shared" si="68"/>
        <v>0</v>
      </c>
      <c r="P82" s="74">
        <f t="shared" si="68"/>
        <v>0</v>
      </c>
      <c r="Q82" s="74">
        <f t="shared" si="68"/>
        <v>0</v>
      </c>
      <c r="R82" s="75" t="str">
        <f>IFERROR(Q82/M82,"N/A")</f>
        <v>N/A</v>
      </c>
      <c r="S82" s="76">
        <f>SUM(S78:S81)</f>
        <v>188</v>
      </c>
    </row>
    <row r="83" spans="1:24" ht="13.5" thickBot="1" x14ac:dyDescent="0.25">
      <c r="F83" s="43"/>
      <c r="G83" s="43"/>
      <c r="H83" s="43"/>
      <c r="I83" s="43"/>
      <c r="J83" s="43"/>
      <c r="K83" s="43"/>
    </row>
    <row r="84" spans="1:24" s="82" customFormat="1" x14ac:dyDescent="0.2">
      <c r="A84" s="59"/>
      <c r="B84" s="59"/>
      <c r="C84" s="77"/>
      <c r="D84" s="77"/>
      <c r="E84" s="86"/>
      <c r="F84" s="19" t="s">
        <v>133</v>
      </c>
      <c r="G84" s="18"/>
      <c r="H84" s="18"/>
      <c r="I84" s="18"/>
      <c r="J84" s="18"/>
      <c r="K84" s="17"/>
      <c r="L84" s="16"/>
      <c r="M84" s="16"/>
      <c r="N84" s="16"/>
      <c r="O84" s="16"/>
      <c r="P84" s="16"/>
      <c r="Q84" s="16"/>
      <c r="R84" s="15"/>
      <c r="S84" s="14"/>
      <c r="T84" s="282"/>
      <c r="U84" s="282"/>
      <c r="V84" s="282"/>
      <c r="W84" s="282"/>
      <c r="X84" s="282"/>
    </row>
    <row r="85" spans="1:24" x14ac:dyDescent="0.2">
      <c r="F85" s="87" t="s">
        <v>134</v>
      </c>
      <c r="G85" s="80"/>
      <c r="H85" s="88"/>
      <c r="I85" s="88"/>
      <c r="J85" s="88"/>
      <c r="K85" s="80"/>
      <c r="L85" s="22"/>
      <c r="M85" s="22"/>
      <c r="N85" s="22"/>
      <c r="O85" s="22"/>
      <c r="P85" s="22"/>
      <c r="Q85" s="22"/>
      <c r="R85" s="21"/>
      <c r="S85" s="20"/>
    </row>
    <row r="86" spans="1:24" ht="33.75" x14ac:dyDescent="0.2">
      <c r="F86" s="67" t="s">
        <v>104</v>
      </c>
      <c r="G86" s="68"/>
      <c r="H86" s="69"/>
      <c r="I86" s="69"/>
      <c r="J86" s="69"/>
      <c r="K86" s="69"/>
      <c r="L86" s="51" t="s">
        <v>53</v>
      </c>
      <c r="M86" s="51" t="s">
        <v>54</v>
      </c>
      <c r="N86" s="51" t="s">
        <v>55</v>
      </c>
      <c r="O86" s="51" t="s">
        <v>56</v>
      </c>
      <c r="P86" s="51" t="s">
        <v>57</v>
      </c>
      <c r="Q86" s="51" t="s">
        <v>58</v>
      </c>
      <c r="R86" s="64" t="s">
        <v>59</v>
      </c>
      <c r="S86" s="65" t="s">
        <v>60</v>
      </c>
    </row>
    <row r="87" spans="1:24" x14ac:dyDescent="0.2">
      <c r="A87" s="59" t="str">
        <f t="shared" ref="A87:A88" si="69">$G$7</f>
        <v>WISE &amp; Healthy Aging</v>
      </c>
      <c r="B87" s="59" t="str">
        <f t="shared" ref="B87:B88" si="70">$G$8</f>
        <v>Peer Counseling</v>
      </c>
      <c r="D87" s="59" t="s">
        <v>85</v>
      </c>
      <c r="E87" s="29" t="s">
        <v>133</v>
      </c>
      <c r="F87" s="237" t="s">
        <v>135</v>
      </c>
      <c r="G87" s="238"/>
      <c r="H87" s="46"/>
      <c r="I87" s="47"/>
      <c r="J87" s="47"/>
      <c r="K87" s="47"/>
      <c r="L87" s="242">
        <v>861</v>
      </c>
      <c r="M87" s="231">
        <v>0</v>
      </c>
      <c r="N87" s="231">
        <f t="shared" ref="N87:N88" si="71">L87-M87</f>
        <v>861</v>
      </c>
      <c r="O87" s="268">
        <v>0</v>
      </c>
      <c r="P87" s="268">
        <v>0</v>
      </c>
      <c r="Q87" s="50">
        <f t="shared" ref="Q87" si="72">SUM(O87:P87)</f>
        <v>0</v>
      </c>
      <c r="R87" s="48" t="str">
        <f t="shared" ref="R87" si="73">IFERROR(Q87/M87,"N/A")</f>
        <v>N/A</v>
      </c>
      <c r="S87" s="269">
        <f>1411+65</f>
        <v>1476</v>
      </c>
    </row>
    <row r="88" spans="1:24" x14ac:dyDescent="0.2">
      <c r="A88" s="59" t="str">
        <f t="shared" si="69"/>
        <v>WISE &amp; Healthy Aging</v>
      </c>
      <c r="B88" s="59" t="str">
        <f t="shared" si="70"/>
        <v>Peer Counseling</v>
      </c>
      <c r="D88" s="59" t="s">
        <v>85</v>
      </c>
      <c r="E88" s="29" t="s">
        <v>133</v>
      </c>
      <c r="F88" s="240"/>
      <c r="G88" s="238"/>
      <c r="H88" s="46"/>
      <c r="I88" s="47"/>
      <c r="J88" s="47"/>
      <c r="K88" s="47"/>
      <c r="L88" s="242">
        <v>0</v>
      </c>
      <c r="M88" s="231">
        <v>0</v>
      </c>
      <c r="N88" s="232">
        <f t="shared" si="71"/>
        <v>0</v>
      </c>
      <c r="O88" s="268">
        <v>0</v>
      </c>
      <c r="P88" s="270">
        <v>0</v>
      </c>
      <c r="Q88" s="45">
        <f t="shared" ref="Q88" si="74">SUM(O88:P88)</f>
        <v>0</v>
      </c>
      <c r="R88" s="44" t="str">
        <f t="shared" ref="R88" si="75">IFERROR(Q88/M88,"N/A")</f>
        <v>N/A</v>
      </c>
      <c r="S88" s="271">
        <v>0</v>
      </c>
    </row>
    <row r="89" spans="1:24" ht="13.5" thickBot="1" x14ac:dyDescent="0.25">
      <c r="F89" s="70"/>
      <c r="G89" s="66"/>
      <c r="H89" s="71" t="s">
        <v>136</v>
      </c>
      <c r="I89" s="72"/>
      <c r="J89" s="72"/>
      <c r="K89" s="73"/>
      <c r="L89" s="74">
        <f t="shared" ref="L89:Q89" si="76">SUM(L87:L88)</f>
        <v>861</v>
      </c>
      <c r="M89" s="74">
        <f t="shared" si="76"/>
        <v>0</v>
      </c>
      <c r="N89" s="74">
        <f t="shared" si="76"/>
        <v>861</v>
      </c>
      <c r="O89" s="74">
        <f t="shared" si="76"/>
        <v>0</v>
      </c>
      <c r="P89" s="74">
        <f t="shared" si="76"/>
        <v>0</v>
      </c>
      <c r="Q89" s="74">
        <f t="shared" si="76"/>
        <v>0</v>
      </c>
      <c r="R89" s="75" t="str">
        <f>IFERROR(Q89/M89,"N/A")</f>
        <v>N/A</v>
      </c>
      <c r="S89" s="76">
        <f>SUM(S87:S88)</f>
        <v>1476</v>
      </c>
    </row>
    <row r="90" spans="1:24" ht="13.5" thickBot="1" x14ac:dyDescent="0.25">
      <c r="F90" s="43"/>
      <c r="G90" s="43"/>
      <c r="H90" s="43"/>
      <c r="I90" s="43"/>
      <c r="J90" s="43"/>
      <c r="K90" s="43"/>
    </row>
    <row r="91" spans="1:24" s="82" customFormat="1" x14ac:dyDescent="0.2">
      <c r="A91" s="59"/>
      <c r="B91" s="59"/>
      <c r="C91" s="77"/>
      <c r="D91" s="77"/>
      <c r="E91" s="86"/>
      <c r="F91" s="23" t="s">
        <v>137</v>
      </c>
      <c r="G91" s="18"/>
      <c r="H91" s="18"/>
      <c r="I91" s="18"/>
      <c r="J91" s="18"/>
      <c r="K91" s="17"/>
      <c r="L91" s="16"/>
      <c r="M91" s="16"/>
      <c r="N91" s="16"/>
      <c r="O91" s="16"/>
      <c r="P91" s="16"/>
      <c r="Q91" s="16"/>
      <c r="R91" s="15"/>
      <c r="S91" s="14"/>
      <c r="T91" s="282"/>
      <c r="U91" s="282"/>
      <c r="V91" s="282"/>
      <c r="W91" s="282"/>
      <c r="X91" s="282"/>
    </row>
    <row r="92" spans="1:24" x14ac:dyDescent="0.2">
      <c r="F92" s="78" t="s">
        <v>138</v>
      </c>
      <c r="G92" s="88"/>
      <c r="H92" s="88"/>
      <c r="I92" s="88"/>
      <c r="J92" s="88"/>
      <c r="K92" s="80"/>
      <c r="L92" s="22"/>
      <c r="M92" s="22"/>
      <c r="N92" s="22"/>
      <c r="O92" s="22"/>
      <c r="P92" s="22"/>
      <c r="Q92" s="22"/>
      <c r="R92" s="21"/>
      <c r="S92" s="20"/>
    </row>
    <row r="93" spans="1:24" ht="33.75" x14ac:dyDescent="0.2">
      <c r="F93" s="67" t="s">
        <v>104</v>
      </c>
      <c r="G93" s="68"/>
      <c r="H93" s="69"/>
      <c r="I93" s="69"/>
      <c r="J93" s="69"/>
      <c r="K93" s="69"/>
      <c r="L93" s="51" t="s">
        <v>53</v>
      </c>
      <c r="M93" s="51" t="s">
        <v>54</v>
      </c>
      <c r="N93" s="51" t="s">
        <v>55</v>
      </c>
      <c r="O93" s="51" t="s">
        <v>56</v>
      </c>
      <c r="P93" s="51" t="s">
        <v>57</v>
      </c>
      <c r="Q93" s="51" t="s">
        <v>58</v>
      </c>
      <c r="R93" s="64" t="s">
        <v>59</v>
      </c>
      <c r="S93" s="65" t="s">
        <v>60</v>
      </c>
    </row>
    <row r="94" spans="1:24" x14ac:dyDescent="0.2">
      <c r="A94" s="59" t="str">
        <f t="shared" ref="A94:A108" si="77">$G$7</f>
        <v>WISE &amp; Healthy Aging</v>
      </c>
      <c r="B94" s="59" t="str">
        <f t="shared" ref="B94:B108" si="78">$G$8</f>
        <v>Peer Counseling</v>
      </c>
      <c r="D94" s="59" t="s">
        <v>85</v>
      </c>
      <c r="E94" s="29" t="s">
        <v>137</v>
      </c>
      <c r="F94" s="237" t="s">
        <v>139</v>
      </c>
      <c r="G94" s="238"/>
      <c r="H94" s="46"/>
      <c r="I94" s="47"/>
      <c r="J94" s="47"/>
      <c r="K94" s="47"/>
      <c r="L94" s="242">
        <v>4800</v>
      </c>
      <c r="M94" s="231">
        <v>150</v>
      </c>
      <c r="N94" s="231">
        <f t="shared" ref="N94:N108" si="79">L94-M94</f>
        <v>4650</v>
      </c>
      <c r="O94" s="268">
        <v>0</v>
      </c>
      <c r="P94" s="268">
        <v>150</v>
      </c>
      <c r="Q94" s="50">
        <f t="shared" ref="Q94:Q107" si="80">SUM(O94:P94)</f>
        <v>150</v>
      </c>
      <c r="R94" s="48">
        <f t="shared" ref="R94:R107" si="81">IFERROR(Q94/M94,"N/A")</f>
        <v>1</v>
      </c>
      <c r="S94" s="269">
        <f>257.37+4800</f>
        <v>5057.37</v>
      </c>
    </row>
    <row r="95" spans="1:24" x14ac:dyDescent="0.2">
      <c r="A95" s="59" t="str">
        <f t="shared" si="77"/>
        <v>WISE &amp; Healthy Aging</v>
      </c>
      <c r="B95" s="59" t="str">
        <f t="shared" si="78"/>
        <v>Peer Counseling</v>
      </c>
      <c r="D95" s="59" t="s">
        <v>85</v>
      </c>
      <c r="E95" s="29" t="s">
        <v>137</v>
      </c>
      <c r="F95" s="240" t="s">
        <v>140</v>
      </c>
      <c r="G95" s="238"/>
      <c r="H95" s="46"/>
      <c r="I95" s="47"/>
      <c r="J95" s="47"/>
      <c r="K95" s="47"/>
      <c r="L95" s="242">
        <v>13000</v>
      </c>
      <c r="M95" s="231">
        <v>2750</v>
      </c>
      <c r="N95" s="232">
        <f t="shared" si="79"/>
        <v>10250</v>
      </c>
      <c r="O95" s="268">
        <v>0</v>
      </c>
      <c r="P95" s="270">
        <v>2750</v>
      </c>
      <c r="Q95" s="50">
        <f t="shared" si="80"/>
        <v>2750</v>
      </c>
      <c r="R95" s="48">
        <f t="shared" si="81"/>
        <v>1</v>
      </c>
      <c r="S95" s="269">
        <f>10150+2750</f>
        <v>12900</v>
      </c>
    </row>
    <row r="96" spans="1:24" x14ac:dyDescent="0.2">
      <c r="A96" s="59" t="str">
        <f t="shared" si="77"/>
        <v>WISE &amp; Healthy Aging</v>
      </c>
      <c r="B96" s="59" t="str">
        <f t="shared" si="78"/>
        <v>Peer Counseling</v>
      </c>
      <c r="D96" s="59" t="s">
        <v>85</v>
      </c>
      <c r="E96" s="29" t="s">
        <v>137</v>
      </c>
      <c r="F96" s="240" t="s">
        <v>141</v>
      </c>
      <c r="G96" s="238"/>
      <c r="H96" s="46"/>
      <c r="I96" s="47"/>
      <c r="J96" s="47"/>
      <c r="K96" s="47"/>
      <c r="L96" s="242">
        <v>4089</v>
      </c>
      <c r="M96" s="231">
        <v>1500</v>
      </c>
      <c r="N96" s="231">
        <f t="shared" si="79"/>
        <v>2589</v>
      </c>
      <c r="O96" s="268">
        <v>0</v>
      </c>
      <c r="P96" s="268">
        <f>1500+105+87</f>
        <v>1692</v>
      </c>
      <c r="Q96" s="50">
        <f t="shared" si="80"/>
        <v>1692</v>
      </c>
      <c r="R96" s="48">
        <f t="shared" si="81"/>
        <v>1.1279999999999999</v>
      </c>
      <c r="S96" s="269">
        <f>1814.5+3000</f>
        <v>4814.5</v>
      </c>
    </row>
    <row r="97" spans="1:24" x14ac:dyDescent="0.2">
      <c r="A97" s="59" t="str">
        <f t="shared" si="77"/>
        <v>WISE &amp; Healthy Aging</v>
      </c>
      <c r="B97" s="59" t="str">
        <f t="shared" si="78"/>
        <v>Peer Counseling</v>
      </c>
      <c r="D97" s="59" t="s">
        <v>85</v>
      </c>
      <c r="E97" s="29" t="s">
        <v>137</v>
      </c>
      <c r="F97" s="240" t="s">
        <v>142</v>
      </c>
      <c r="G97" s="238"/>
      <c r="H97" s="46"/>
      <c r="I97" s="47"/>
      <c r="J97" s="47"/>
      <c r="K97" s="47"/>
      <c r="L97" s="242">
        <v>1200</v>
      </c>
      <c r="M97" s="231">
        <v>0</v>
      </c>
      <c r="N97" s="231">
        <f t="shared" si="79"/>
        <v>1200</v>
      </c>
      <c r="O97" s="268">
        <v>0</v>
      </c>
      <c r="P97" s="268">
        <v>0</v>
      </c>
      <c r="Q97" s="50">
        <f t="shared" si="80"/>
        <v>0</v>
      </c>
      <c r="R97" s="48" t="str">
        <f t="shared" si="81"/>
        <v>N/A</v>
      </c>
      <c r="S97" s="269">
        <f>20.84+219+33.4</f>
        <v>273.24</v>
      </c>
    </row>
    <row r="98" spans="1:24" x14ac:dyDescent="0.2">
      <c r="A98" s="59" t="str">
        <f t="shared" si="77"/>
        <v>WISE &amp; Healthy Aging</v>
      </c>
      <c r="B98" s="59" t="str">
        <f t="shared" si="78"/>
        <v>Peer Counseling</v>
      </c>
      <c r="D98" s="59" t="s">
        <v>85</v>
      </c>
      <c r="E98" s="29" t="s">
        <v>137</v>
      </c>
      <c r="F98" s="240" t="s">
        <v>143</v>
      </c>
      <c r="G98" s="238"/>
      <c r="H98" s="46"/>
      <c r="I98" s="47"/>
      <c r="J98" s="47"/>
      <c r="K98" s="47"/>
      <c r="L98" s="242">
        <v>300</v>
      </c>
      <c r="M98" s="231">
        <v>0</v>
      </c>
      <c r="N98" s="231">
        <f t="shared" si="79"/>
        <v>300</v>
      </c>
      <c r="O98" s="268">
        <v>0</v>
      </c>
      <c r="P98" s="268">
        <v>0</v>
      </c>
      <c r="Q98" s="50">
        <f t="shared" si="80"/>
        <v>0</v>
      </c>
      <c r="R98" s="48" t="str">
        <f t="shared" si="81"/>
        <v>N/A</v>
      </c>
      <c r="S98" s="269">
        <f>705.25</f>
        <v>705.25</v>
      </c>
    </row>
    <row r="99" spans="1:24" x14ac:dyDescent="0.2">
      <c r="A99" s="59" t="str">
        <f t="shared" si="77"/>
        <v>WISE &amp; Healthy Aging</v>
      </c>
      <c r="B99" s="59" t="str">
        <f t="shared" si="78"/>
        <v>Peer Counseling</v>
      </c>
      <c r="D99" s="59" t="s">
        <v>85</v>
      </c>
      <c r="E99" s="29" t="s">
        <v>137</v>
      </c>
      <c r="F99" s="240" t="s">
        <v>144</v>
      </c>
      <c r="G99" s="238"/>
      <c r="H99" s="46"/>
      <c r="I99" s="47"/>
      <c r="J99" s="47"/>
      <c r="K99" s="47"/>
      <c r="L99" s="242">
        <v>12000</v>
      </c>
      <c r="M99" s="242">
        <v>2000</v>
      </c>
      <c r="N99" s="242">
        <f t="shared" si="79"/>
        <v>10000</v>
      </c>
      <c r="O99" s="268">
        <v>0</v>
      </c>
      <c r="P99" s="272">
        <v>2000</v>
      </c>
      <c r="Q99" s="50">
        <f t="shared" si="80"/>
        <v>2000</v>
      </c>
      <c r="R99" s="48">
        <f t="shared" si="81"/>
        <v>1</v>
      </c>
      <c r="S99" s="269">
        <f>2000+10000</f>
        <v>12000</v>
      </c>
    </row>
    <row r="100" spans="1:24" x14ac:dyDescent="0.2">
      <c r="A100" s="59" t="str">
        <f t="shared" si="77"/>
        <v>WISE &amp; Healthy Aging</v>
      </c>
      <c r="B100" s="59" t="str">
        <f t="shared" si="78"/>
        <v>Peer Counseling</v>
      </c>
      <c r="D100" s="59" t="s">
        <v>85</v>
      </c>
      <c r="E100" s="29" t="s">
        <v>137</v>
      </c>
      <c r="F100" s="240" t="s">
        <v>145</v>
      </c>
      <c r="G100" s="238"/>
      <c r="H100" s="46"/>
      <c r="I100" s="47"/>
      <c r="J100" s="47"/>
      <c r="K100" s="47"/>
      <c r="L100" s="242">
        <v>15000</v>
      </c>
      <c r="M100" s="242">
        <v>0</v>
      </c>
      <c r="N100" s="242">
        <f t="shared" si="79"/>
        <v>15000</v>
      </c>
      <c r="O100" s="268">
        <v>0</v>
      </c>
      <c r="P100" s="272">
        <v>0</v>
      </c>
      <c r="Q100" s="50">
        <f t="shared" si="80"/>
        <v>0</v>
      </c>
      <c r="R100" s="48" t="str">
        <f t="shared" si="81"/>
        <v>N/A</v>
      </c>
      <c r="S100" s="269">
        <f>125+15000</f>
        <v>15125</v>
      </c>
    </row>
    <row r="101" spans="1:24" x14ac:dyDescent="0.2">
      <c r="A101" s="59" t="str">
        <f t="shared" si="77"/>
        <v>WISE &amp; Healthy Aging</v>
      </c>
      <c r="B101" s="59" t="str">
        <f t="shared" si="78"/>
        <v>Peer Counseling</v>
      </c>
      <c r="D101" s="59" t="s">
        <v>85</v>
      </c>
      <c r="E101" s="29" t="s">
        <v>137</v>
      </c>
      <c r="F101" s="240" t="s">
        <v>146</v>
      </c>
      <c r="G101" s="238"/>
      <c r="H101" s="46"/>
      <c r="I101" s="47"/>
      <c r="J101" s="47"/>
      <c r="K101" s="47"/>
      <c r="L101" s="242">
        <v>2500</v>
      </c>
      <c r="M101" s="242">
        <v>0</v>
      </c>
      <c r="N101" s="242">
        <f t="shared" si="79"/>
        <v>2500</v>
      </c>
      <c r="O101" s="268">
        <v>0</v>
      </c>
      <c r="P101" s="272">
        <v>0</v>
      </c>
      <c r="Q101" s="50">
        <f t="shared" si="80"/>
        <v>0</v>
      </c>
      <c r="R101" s="48" t="str">
        <f t="shared" si="81"/>
        <v>N/A</v>
      </c>
      <c r="S101" s="269">
        <v>0</v>
      </c>
    </row>
    <row r="102" spans="1:24" x14ac:dyDescent="0.2">
      <c r="A102" s="59" t="str">
        <f t="shared" si="77"/>
        <v>WISE &amp; Healthy Aging</v>
      </c>
      <c r="B102" s="59" t="str">
        <f t="shared" si="78"/>
        <v>Peer Counseling</v>
      </c>
      <c r="D102" s="59" t="s">
        <v>85</v>
      </c>
      <c r="E102" s="29" t="s">
        <v>137</v>
      </c>
      <c r="F102" s="240" t="s">
        <v>147</v>
      </c>
      <c r="G102" s="238"/>
      <c r="H102" s="46"/>
      <c r="I102" s="47"/>
      <c r="J102" s="47"/>
      <c r="K102" s="47"/>
      <c r="L102" s="242">
        <v>561</v>
      </c>
      <c r="M102" s="242">
        <v>0</v>
      </c>
      <c r="N102" s="242">
        <f t="shared" si="79"/>
        <v>561</v>
      </c>
      <c r="O102" s="268">
        <v>0</v>
      </c>
      <c r="P102" s="272">
        <v>0</v>
      </c>
      <c r="Q102" s="50">
        <f t="shared" si="80"/>
        <v>0</v>
      </c>
      <c r="R102" s="48" t="str">
        <f t="shared" si="81"/>
        <v>N/A</v>
      </c>
      <c r="S102" s="269">
        <f>213+213+23</f>
        <v>449</v>
      </c>
    </row>
    <row r="103" spans="1:24" x14ac:dyDescent="0.2">
      <c r="A103" s="59" t="str">
        <f t="shared" si="77"/>
        <v>WISE &amp; Healthy Aging</v>
      </c>
      <c r="B103" s="59" t="str">
        <f t="shared" si="78"/>
        <v>Peer Counseling</v>
      </c>
      <c r="D103" s="59" t="s">
        <v>85</v>
      </c>
      <c r="E103" s="29" t="s">
        <v>137</v>
      </c>
      <c r="F103" s="240" t="s">
        <v>148</v>
      </c>
      <c r="G103" s="238"/>
      <c r="H103" s="46"/>
      <c r="I103" s="47"/>
      <c r="J103" s="47"/>
      <c r="K103" s="47"/>
      <c r="L103" s="242">
        <v>350</v>
      </c>
      <c r="M103" s="242">
        <v>0</v>
      </c>
      <c r="N103" s="242">
        <f t="shared" si="79"/>
        <v>350</v>
      </c>
      <c r="O103" s="268">
        <v>0</v>
      </c>
      <c r="P103" s="272">
        <v>0</v>
      </c>
      <c r="Q103" s="50">
        <f t="shared" si="80"/>
        <v>0</v>
      </c>
      <c r="R103" s="48" t="str">
        <f t="shared" si="81"/>
        <v>N/A</v>
      </c>
      <c r="S103" s="269">
        <v>0</v>
      </c>
    </row>
    <row r="104" spans="1:24" x14ac:dyDescent="0.2">
      <c r="A104" s="59" t="str">
        <f t="shared" si="77"/>
        <v>WISE &amp; Healthy Aging</v>
      </c>
      <c r="B104" s="59" t="str">
        <f t="shared" si="78"/>
        <v>Peer Counseling</v>
      </c>
      <c r="D104" s="59" t="s">
        <v>85</v>
      </c>
      <c r="E104" s="29" t="s">
        <v>137</v>
      </c>
      <c r="F104" s="274" t="s">
        <v>149</v>
      </c>
      <c r="G104" s="238"/>
      <c r="H104" s="46"/>
      <c r="I104" s="47"/>
      <c r="J104" s="47"/>
      <c r="K104" s="47"/>
      <c r="L104" s="242">
        <v>4458</v>
      </c>
      <c r="M104" s="242">
        <v>0</v>
      </c>
      <c r="N104" s="242">
        <f t="shared" ref="N104" si="82">L104-M104</f>
        <v>4458</v>
      </c>
      <c r="O104" s="268">
        <v>0</v>
      </c>
      <c r="P104" s="272">
        <v>0</v>
      </c>
      <c r="Q104" s="50">
        <f t="shared" si="80"/>
        <v>0</v>
      </c>
      <c r="R104" s="48" t="str">
        <f t="shared" si="81"/>
        <v>N/A</v>
      </c>
      <c r="S104" s="269">
        <f>2628+150</f>
        <v>2778</v>
      </c>
    </row>
    <row r="105" spans="1:24" x14ac:dyDescent="0.2">
      <c r="A105" s="59" t="str">
        <f t="shared" si="77"/>
        <v>WISE &amp; Healthy Aging</v>
      </c>
      <c r="B105" s="59" t="str">
        <f t="shared" si="78"/>
        <v>Peer Counseling</v>
      </c>
      <c r="D105" s="59" t="s">
        <v>85</v>
      </c>
      <c r="E105" s="29" t="s">
        <v>137</v>
      </c>
      <c r="F105" s="240" t="s">
        <v>150</v>
      </c>
      <c r="G105" s="238"/>
      <c r="H105" s="46"/>
      <c r="I105" s="47"/>
      <c r="J105" s="47"/>
      <c r="K105" s="47"/>
      <c r="L105" s="242">
        <v>625</v>
      </c>
      <c r="M105" s="242">
        <v>0</v>
      </c>
      <c r="N105" s="242">
        <f t="shared" si="79"/>
        <v>625</v>
      </c>
      <c r="O105" s="272">
        <v>0</v>
      </c>
      <c r="P105" s="272">
        <v>0</v>
      </c>
      <c r="Q105" s="50">
        <f t="shared" si="80"/>
        <v>0</v>
      </c>
      <c r="R105" s="48" t="str">
        <f t="shared" si="81"/>
        <v>N/A</v>
      </c>
      <c r="S105" s="269">
        <v>0</v>
      </c>
    </row>
    <row r="106" spans="1:24" x14ac:dyDescent="0.2">
      <c r="A106" s="59" t="str">
        <f t="shared" si="77"/>
        <v>WISE &amp; Healthy Aging</v>
      </c>
      <c r="B106" s="59" t="str">
        <f t="shared" si="78"/>
        <v>Peer Counseling</v>
      </c>
      <c r="D106" s="59" t="s">
        <v>85</v>
      </c>
      <c r="E106" s="29" t="s">
        <v>137</v>
      </c>
      <c r="F106" s="240" t="s">
        <v>151</v>
      </c>
      <c r="G106" s="238"/>
      <c r="H106" s="46"/>
      <c r="I106" s="47"/>
      <c r="J106" s="47"/>
      <c r="K106" s="47"/>
      <c r="L106" s="242">
        <v>120</v>
      </c>
      <c r="M106" s="231">
        <v>0</v>
      </c>
      <c r="N106" s="231">
        <f t="shared" si="79"/>
        <v>120</v>
      </c>
      <c r="O106" s="268">
        <v>0</v>
      </c>
      <c r="P106" s="268">
        <v>0</v>
      </c>
      <c r="Q106" s="50">
        <f t="shared" si="80"/>
        <v>0</v>
      </c>
      <c r="R106" s="48" t="str">
        <f t="shared" si="81"/>
        <v>N/A</v>
      </c>
      <c r="S106" s="269">
        <v>0</v>
      </c>
    </row>
    <row r="107" spans="1:24" x14ac:dyDescent="0.2">
      <c r="A107" s="59" t="str">
        <f t="shared" si="77"/>
        <v>WISE &amp; Healthy Aging</v>
      </c>
      <c r="B107" s="59" t="str">
        <f t="shared" si="78"/>
        <v>Peer Counseling</v>
      </c>
      <c r="D107" s="59" t="s">
        <v>85</v>
      </c>
      <c r="E107" s="29" t="s">
        <v>137</v>
      </c>
      <c r="F107" s="240" t="s">
        <v>152</v>
      </c>
      <c r="G107" s="238"/>
      <c r="H107" s="46"/>
      <c r="I107" s="47"/>
      <c r="J107" s="47"/>
      <c r="K107" s="47"/>
      <c r="L107" s="242">
        <v>2424</v>
      </c>
      <c r="M107" s="231">
        <v>315</v>
      </c>
      <c r="N107" s="232">
        <f t="shared" si="79"/>
        <v>2109</v>
      </c>
      <c r="O107" s="268">
        <v>0</v>
      </c>
      <c r="P107" s="270">
        <v>315</v>
      </c>
      <c r="Q107" s="50">
        <f t="shared" si="80"/>
        <v>315</v>
      </c>
      <c r="R107" s="48">
        <f t="shared" si="81"/>
        <v>1</v>
      </c>
      <c r="S107" s="269">
        <f>315+920+60+60</f>
        <v>1355</v>
      </c>
    </row>
    <row r="108" spans="1:24" x14ac:dyDescent="0.2">
      <c r="A108" s="59" t="str">
        <f t="shared" si="77"/>
        <v>WISE &amp; Healthy Aging</v>
      </c>
      <c r="B108" s="59" t="str">
        <f t="shared" si="78"/>
        <v>Peer Counseling</v>
      </c>
      <c r="D108" s="59" t="s">
        <v>85</v>
      </c>
      <c r="E108" s="29" t="s">
        <v>137</v>
      </c>
      <c r="F108" s="241"/>
      <c r="G108" s="238"/>
      <c r="H108" s="46"/>
      <c r="I108" s="47"/>
      <c r="J108" s="47"/>
      <c r="K108" s="47"/>
      <c r="L108" s="242">
        <v>0</v>
      </c>
      <c r="M108" s="231">
        <v>0</v>
      </c>
      <c r="N108" s="231">
        <f t="shared" si="79"/>
        <v>0</v>
      </c>
      <c r="O108" s="268">
        <v>0</v>
      </c>
      <c r="P108" s="268">
        <v>0</v>
      </c>
      <c r="Q108" s="49">
        <f t="shared" ref="Q108" si="83">SUM(O108:P108)</f>
        <v>0</v>
      </c>
      <c r="R108" s="48" t="str">
        <f t="shared" ref="R108" si="84">IFERROR(Q108/M108,"N/A")</f>
        <v>N/A</v>
      </c>
      <c r="S108" s="273">
        <v>0</v>
      </c>
    </row>
    <row r="109" spans="1:24" ht="13.5" thickBot="1" x14ac:dyDescent="0.25">
      <c r="F109" s="70"/>
      <c r="G109" s="66"/>
      <c r="H109" s="71" t="s">
        <v>153</v>
      </c>
      <c r="I109" s="72"/>
      <c r="J109" s="72"/>
      <c r="K109" s="73"/>
      <c r="L109" s="74">
        <f t="shared" ref="L109:Q109" si="85">SUM(L94:L108)</f>
        <v>61427</v>
      </c>
      <c r="M109" s="74">
        <f t="shared" si="85"/>
        <v>6715</v>
      </c>
      <c r="N109" s="74">
        <f t="shared" si="85"/>
        <v>54712</v>
      </c>
      <c r="O109" s="74">
        <f t="shared" si="85"/>
        <v>0</v>
      </c>
      <c r="P109" s="74">
        <f t="shared" si="85"/>
        <v>6907</v>
      </c>
      <c r="Q109" s="74">
        <f t="shared" si="85"/>
        <v>6907</v>
      </c>
      <c r="R109" s="75">
        <f>IFERROR(Q109/M109,"N/A")</f>
        <v>1.0285927029039463</v>
      </c>
      <c r="S109" s="76">
        <f>SUM(S94:S108)</f>
        <v>55457.36</v>
      </c>
    </row>
    <row r="110" spans="1:24" ht="13.5" thickBot="1" x14ac:dyDescent="0.25">
      <c r="F110" s="43"/>
      <c r="G110" s="43"/>
      <c r="H110" s="43"/>
      <c r="I110" s="43"/>
      <c r="J110" s="43"/>
      <c r="K110" s="43"/>
    </row>
    <row r="111" spans="1:24" s="82" customFormat="1" x14ac:dyDescent="0.2">
      <c r="A111" s="77"/>
      <c r="B111" s="77"/>
      <c r="C111" s="77"/>
      <c r="D111" s="77"/>
      <c r="E111" s="86"/>
      <c r="F111" s="19" t="s">
        <v>154</v>
      </c>
      <c r="G111" s="18"/>
      <c r="H111" s="18"/>
      <c r="I111" s="18"/>
      <c r="J111" s="18"/>
      <c r="K111" s="17"/>
      <c r="L111" s="16"/>
      <c r="M111" s="16"/>
      <c r="N111" s="16"/>
      <c r="O111" s="16"/>
      <c r="P111" s="16"/>
      <c r="Q111" s="16"/>
      <c r="R111" s="15"/>
      <c r="S111" s="14"/>
      <c r="T111" s="282"/>
      <c r="U111" s="282"/>
      <c r="V111" s="282"/>
      <c r="W111" s="282"/>
      <c r="X111" s="282"/>
    </row>
    <row r="112" spans="1:24" x14ac:dyDescent="0.2">
      <c r="F112" s="87" t="s">
        <v>155</v>
      </c>
      <c r="G112" s="88"/>
      <c r="H112" s="88"/>
      <c r="I112" s="88"/>
      <c r="J112" s="88"/>
      <c r="K112" s="80"/>
      <c r="L112" s="22"/>
      <c r="M112" s="22"/>
      <c r="N112" s="22"/>
      <c r="O112" s="22"/>
      <c r="P112" s="22"/>
      <c r="Q112" s="22"/>
      <c r="R112" s="21"/>
      <c r="S112" s="20"/>
    </row>
    <row r="113" spans="1:24" ht="33.75" x14ac:dyDescent="0.2">
      <c r="F113" s="67" t="s">
        <v>104</v>
      </c>
      <c r="G113" s="68"/>
      <c r="H113" s="69"/>
      <c r="I113" s="69"/>
      <c r="J113" s="69"/>
      <c r="K113" s="69"/>
      <c r="L113" s="51" t="s">
        <v>53</v>
      </c>
      <c r="M113" s="51" t="s">
        <v>54</v>
      </c>
      <c r="N113" s="51" t="s">
        <v>55</v>
      </c>
      <c r="O113" s="51" t="s">
        <v>56</v>
      </c>
      <c r="P113" s="51" t="s">
        <v>57</v>
      </c>
      <c r="Q113" s="51" t="s">
        <v>58</v>
      </c>
      <c r="R113" s="64" t="s">
        <v>59</v>
      </c>
      <c r="S113" s="65" t="s">
        <v>60</v>
      </c>
    </row>
    <row r="114" spans="1:24" x14ac:dyDescent="0.2">
      <c r="A114" s="59" t="str">
        <f t="shared" ref="A114:A115" si="86">$G$7</f>
        <v>WISE &amp; Healthy Aging</v>
      </c>
      <c r="B114" s="59" t="str">
        <f t="shared" ref="B114:B115" si="87">$G$8</f>
        <v>Peer Counseling</v>
      </c>
      <c r="D114" s="59" t="s">
        <v>85</v>
      </c>
      <c r="E114" s="29" t="s">
        <v>154</v>
      </c>
      <c r="F114" s="237"/>
      <c r="G114" s="238"/>
      <c r="H114" s="46"/>
      <c r="I114" s="47"/>
      <c r="J114" s="47"/>
      <c r="K114" s="47"/>
      <c r="L114" s="231">
        <v>0</v>
      </c>
      <c r="M114" s="231">
        <v>0</v>
      </c>
      <c r="N114" s="231">
        <f t="shared" ref="N114:N115" si="88">L114-M114</f>
        <v>0</v>
      </c>
      <c r="O114" s="268">
        <v>0</v>
      </c>
      <c r="P114" s="268">
        <v>0</v>
      </c>
      <c r="Q114" s="50">
        <f t="shared" ref="Q114" si="89">SUM(O114:P114)</f>
        <v>0</v>
      </c>
      <c r="R114" s="48" t="str">
        <f t="shared" ref="R114" si="90">IFERROR(Q114/M114,"N/A")</f>
        <v>N/A</v>
      </c>
      <c r="S114" s="269">
        <v>0</v>
      </c>
    </row>
    <row r="115" spans="1:24" x14ac:dyDescent="0.2">
      <c r="A115" s="59" t="str">
        <f t="shared" si="86"/>
        <v>WISE &amp; Healthy Aging</v>
      </c>
      <c r="B115" s="59" t="str">
        <f t="shared" si="87"/>
        <v>Peer Counseling</v>
      </c>
      <c r="D115" s="59" t="s">
        <v>85</v>
      </c>
      <c r="E115" s="29" t="s">
        <v>154</v>
      </c>
      <c r="F115" s="240"/>
      <c r="G115" s="238"/>
      <c r="H115" s="46"/>
      <c r="I115" s="47"/>
      <c r="J115" s="47"/>
      <c r="K115" s="47"/>
      <c r="L115" s="231">
        <v>0</v>
      </c>
      <c r="M115" s="231">
        <v>0</v>
      </c>
      <c r="N115" s="231">
        <f t="shared" si="88"/>
        <v>0</v>
      </c>
      <c r="O115" s="268">
        <v>0</v>
      </c>
      <c r="P115" s="268">
        <v>0</v>
      </c>
      <c r="Q115" s="49">
        <f t="shared" ref="Q115" si="91">SUM(O115:P115)</f>
        <v>0</v>
      </c>
      <c r="R115" s="48" t="str">
        <f t="shared" ref="R115" si="92">IFERROR(Q115/M115,"N/A")</f>
        <v>N/A</v>
      </c>
      <c r="S115" s="273">
        <v>0</v>
      </c>
    </row>
    <row r="116" spans="1:24" ht="13.5" thickBot="1" x14ac:dyDescent="0.25">
      <c r="F116" s="70"/>
      <c r="G116" s="66"/>
      <c r="H116" s="71" t="s">
        <v>156</v>
      </c>
      <c r="I116" s="72"/>
      <c r="J116" s="72"/>
      <c r="K116" s="73"/>
      <c r="L116" s="74">
        <f t="shared" ref="L116:Q116" si="93">SUM(L114:L115)</f>
        <v>0</v>
      </c>
      <c r="M116" s="74">
        <f t="shared" si="93"/>
        <v>0</v>
      </c>
      <c r="N116" s="74">
        <f t="shared" si="93"/>
        <v>0</v>
      </c>
      <c r="O116" s="74">
        <f t="shared" si="93"/>
        <v>0</v>
      </c>
      <c r="P116" s="74">
        <f t="shared" si="93"/>
        <v>0</v>
      </c>
      <c r="Q116" s="74">
        <f t="shared" si="93"/>
        <v>0</v>
      </c>
      <c r="R116" s="75" t="str">
        <f>IFERROR(Q116/M116,"N/A")</f>
        <v>N/A</v>
      </c>
      <c r="S116" s="76">
        <f>SUM(S114:S115)</f>
        <v>0</v>
      </c>
    </row>
    <row r="117" spans="1:24" ht="13.5" thickBot="1" x14ac:dyDescent="0.25">
      <c r="F117" s="43"/>
      <c r="G117" s="43"/>
      <c r="H117" s="43"/>
      <c r="I117" s="43"/>
      <c r="J117" s="43"/>
      <c r="K117" s="43"/>
    </row>
    <row r="118" spans="1:24" s="82" customFormat="1" x14ac:dyDescent="0.2">
      <c r="F118" s="19" t="s">
        <v>157</v>
      </c>
      <c r="G118" s="18"/>
      <c r="H118" s="18"/>
      <c r="I118" s="18"/>
      <c r="J118" s="18"/>
      <c r="K118" s="17"/>
      <c r="L118" s="16"/>
      <c r="M118" s="16"/>
      <c r="N118" s="16"/>
      <c r="O118" s="16"/>
      <c r="P118" s="16"/>
      <c r="Q118" s="16"/>
      <c r="R118" s="15"/>
      <c r="S118" s="14"/>
      <c r="T118" s="282"/>
      <c r="U118" s="282"/>
      <c r="V118" s="282"/>
      <c r="W118" s="282"/>
      <c r="X118" s="282"/>
    </row>
    <row r="119" spans="1:24" x14ac:dyDescent="0.2">
      <c r="F119" s="87" t="s">
        <v>158</v>
      </c>
      <c r="G119" s="88"/>
      <c r="H119" s="88"/>
      <c r="I119" s="88"/>
      <c r="J119" s="88"/>
      <c r="K119" s="80"/>
      <c r="L119" s="22"/>
      <c r="M119" s="22"/>
      <c r="N119" s="22"/>
      <c r="O119" s="22"/>
      <c r="P119" s="22"/>
      <c r="Q119" s="22"/>
      <c r="R119" s="21"/>
      <c r="S119" s="20"/>
    </row>
    <row r="120" spans="1:24" ht="33.75" x14ac:dyDescent="0.2">
      <c r="F120" s="67" t="s">
        <v>104</v>
      </c>
      <c r="G120" s="68"/>
      <c r="H120" s="69"/>
      <c r="I120" s="69"/>
      <c r="J120" s="69"/>
      <c r="K120" s="69"/>
      <c r="L120" s="51" t="s">
        <v>53</v>
      </c>
      <c r="M120" s="51" t="s">
        <v>54</v>
      </c>
      <c r="N120" s="51" t="s">
        <v>55</v>
      </c>
      <c r="O120" s="51" t="s">
        <v>56</v>
      </c>
      <c r="P120" s="51" t="s">
        <v>57</v>
      </c>
      <c r="Q120" s="51" t="s">
        <v>58</v>
      </c>
      <c r="R120" s="64" t="s">
        <v>59</v>
      </c>
      <c r="S120" s="65" t="s">
        <v>60</v>
      </c>
    </row>
    <row r="121" spans="1:24" x14ac:dyDescent="0.2">
      <c r="A121" s="59" t="str">
        <f t="shared" ref="A121:A122" si="94">$G$7</f>
        <v>WISE &amp; Healthy Aging</v>
      </c>
      <c r="B121" s="59" t="str">
        <f t="shared" ref="B121:B122" si="95">$G$8</f>
        <v>Peer Counseling</v>
      </c>
      <c r="D121" s="59" t="s">
        <v>85</v>
      </c>
      <c r="E121" s="29" t="s">
        <v>157</v>
      </c>
      <c r="F121" s="237"/>
      <c r="G121" s="238"/>
      <c r="H121" s="46"/>
      <c r="I121" s="47"/>
      <c r="J121" s="47"/>
      <c r="K121" s="47"/>
      <c r="L121" s="231">
        <v>0</v>
      </c>
      <c r="M121" s="231">
        <v>0</v>
      </c>
      <c r="N121" s="231">
        <f t="shared" ref="N121:N122" si="96">L121-M121</f>
        <v>0</v>
      </c>
      <c r="O121" s="268">
        <v>0</v>
      </c>
      <c r="P121" s="268">
        <v>0</v>
      </c>
      <c r="Q121" s="50">
        <f t="shared" ref="Q121" si="97">SUM(O121:P121)</f>
        <v>0</v>
      </c>
      <c r="R121" s="48" t="str">
        <f t="shared" ref="R121" si="98">IFERROR(Q121/M121,"N/A")</f>
        <v>N/A</v>
      </c>
      <c r="S121" s="269">
        <v>0</v>
      </c>
    </row>
    <row r="122" spans="1:24" x14ac:dyDescent="0.2">
      <c r="A122" s="59" t="str">
        <f t="shared" si="94"/>
        <v>WISE &amp; Healthy Aging</v>
      </c>
      <c r="B122" s="59" t="str">
        <f t="shared" si="95"/>
        <v>Peer Counseling</v>
      </c>
      <c r="D122" s="59" t="s">
        <v>85</v>
      </c>
      <c r="E122" s="29" t="s">
        <v>157</v>
      </c>
      <c r="F122" s="240"/>
      <c r="G122" s="238"/>
      <c r="H122" s="46"/>
      <c r="I122" s="47"/>
      <c r="J122" s="47"/>
      <c r="K122" s="47"/>
      <c r="L122" s="231">
        <v>0</v>
      </c>
      <c r="M122" s="231">
        <v>0</v>
      </c>
      <c r="N122" s="231">
        <f t="shared" si="96"/>
        <v>0</v>
      </c>
      <c r="O122" s="268">
        <v>0</v>
      </c>
      <c r="P122" s="268">
        <v>0</v>
      </c>
      <c r="Q122" s="49">
        <f t="shared" ref="Q122" si="99">SUM(O122:P122)</f>
        <v>0</v>
      </c>
      <c r="R122" s="48" t="str">
        <f t="shared" ref="R122" si="100">IFERROR(Q122/M122,"N/A")</f>
        <v>N/A</v>
      </c>
      <c r="S122" s="273">
        <v>0</v>
      </c>
    </row>
    <row r="123" spans="1:24" ht="13.5" thickBot="1" x14ac:dyDescent="0.25">
      <c r="F123" s="70"/>
      <c r="G123" s="66"/>
      <c r="H123" s="71" t="s">
        <v>159</v>
      </c>
      <c r="I123" s="72"/>
      <c r="J123" s="72"/>
      <c r="K123" s="73"/>
      <c r="L123" s="74">
        <f t="shared" ref="L123:Q123" si="101">SUM(L121:L122)</f>
        <v>0</v>
      </c>
      <c r="M123" s="74">
        <f t="shared" si="101"/>
        <v>0</v>
      </c>
      <c r="N123" s="74">
        <f t="shared" si="101"/>
        <v>0</v>
      </c>
      <c r="O123" s="74">
        <f t="shared" si="101"/>
        <v>0</v>
      </c>
      <c r="P123" s="74">
        <f t="shared" si="101"/>
        <v>0</v>
      </c>
      <c r="Q123" s="74">
        <f t="shared" si="101"/>
        <v>0</v>
      </c>
      <c r="R123" s="75" t="str">
        <f>IFERROR(Q123/M123,"N/A")</f>
        <v>N/A</v>
      </c>
      <c r="S123" s="76">
        <f>SUM(S121:S122)</f>
        <v>0</v>
      </c>
    </row>
    <row r="124" spans="1:24" ht="13.5" thickBot="1" x14ac:dyDescent="0.25">
      <c r="F124" s="43"/>
      <c r="G124" s="43"/>
      <c r="H124" s="43"/>
      <c r="I124" s="43"/>
      <c r="J124" s="43"/>
      <c r="K124" s="43"/>
    </row>
    <row r="125" spans="1:24" s="82" customFormat="1" x14ac:dyDescent="0.2">
      <c r="A125" s="77"/>
      <c r="B125" s="77"/>
      <c r="C125" s="77"/>
      <c r="D125" s="77"/>
      <c r="E125" s="86"/>
      <c r="F125" s="19" t="s">
        <v>160</v>
      </c>
      <c r="G125" s="18"/>
      <c r="H125" s="18"/>
      <c r="I125" s="18"/>
      <c r="J125" s="18"/>
      <c r="K125" s="17"/>
      <c r="L125" s="16"/>
      <c r="M125" s="16"/>
      <c r="N125" s="16"/>
      <c r="O125" s="16"/>
      <c r="P125" s="16"/>
      <c r="Q125" s="16"/>
      <c r="R125" s="15"/>
      <c r="S125" s="14"/>
      <c r="T125" s="282"/>
      <c r="U125" s="282"/>
      <c r="V125" s="282"/>
      <c r="W125" s="282"/>
      <c r="X125" s="282"/>
    </row>
    <row r="126" spans="1:24" s="82" customFormat="1" ht="11.25" x14ac:dyDescent="0.2">
      <c r="A126" s="77"/>
      <c r="B126" s="77"/>
      <c r="C126" s="77"/>
      <c r="D126" s="77"/>
      <c r="E126" s="86"/>
      <c r="F126" s="87" t="s">
        <v>161</v>
      </c>
      <c r="G126" s="79"/>
      <c r="H126" s="79"/>
      <c r="I126" s="79"/>
      <c r="J126" s="79"/>
      <c r="K126" s="80"/>
      <c r="L126" s="80"/>
      <c r="M126" s="80"/>
      <c r="N126" s="80"/>
      <c r="O126" s="80"/>
      <c r="P126" s="80"/>
      <c r="Q126" s="80"/>
      <c r="R126" s="209"/>
      <c r="S126" s="81"/>
      <c r="T126" s="282"/>
      <c r="U126" s="282"/>
      <c r="V126" s="282"/>
      <c r="W126" s="282"/>
      <c r="X126" s="282"/>
    </row>
    <row r="127" spans="1:24" s="82" customFormat="1" ht="11.25" x14ac:dyDescent="0.2">
      <c r="A127" s="77"/>
      <c r="B127" s="77"/>
      <c r="C127" s="77"/>
      <c r="D127" s="77"/>
      <c r="E127" s="86"/>
      <c r="F127" s="97" t="s">
        <v>162</v>
      </c>
      <c r="G127" s="79"/>
      <c r="H127" s="79"/>
      <c r="I127" s="79"/>
      <c r="J127" s="79"/>
      <c r="K127" s="80"/>
      <c r="L127" s="80"/>
      <c r="M127" s="80"/>
      <c r="N127" s="80"/>
      <c r="O127" s="80"/>
      <c r="P127" s="80"/>
      <c r="Q127" s="80"/>
      <c r="R127" s="209"/>
      <c r="S127" s="81"/>
      <c r="T127" s="282"/>
      <c r="U127" s="282"/>
      <c r="V127" s="282"/>
      <c r="W127" s="282"/>
      <c r="X127" s="282"/>
    </row>
    <row r="128" spans="1:24" s="82" customFormat="1" ht="11.25" x14ac:dyDescent="0.2">
      <c r="A128" s="77"/>
      <c r="B128" s="77"/>
      <c r="C128" s="77"/>
      <c r="D128" s="77"/>
      <c r="E128" s="86"/>
      <c r="F128" s="97" t="s">
        <v>163</v>
      </c>
      <c r="G128" s="79"/>
      <c r="H128" s="79"/>
      <c r="I128" s="79"/>
      <c r="J128" s="79"/>
      <c r="K128" s="79"/>
      <c r="L128" s="83"/>
      <c r="M128" s="83"/>
      <c r="N128" s="83"/>
      <c r="O128" s="83"/>
      <c r="P128" s="83"/>
      <c r="Q128" s="83"/>
      <c r="R128" s="84"/>
      <c r="S128" s="85"/>
      <c r="T128" s="282"/>
      <c r="U128" s="282"/>
      <c r="V128" s="282"/>
      <c r="W128" s="282"/>
      <c r="X128" s="282"/>
    </row>
    <row r="129" spans="1:19" ht="33.75" x14ac:dyDescent="0.2">
      <c r="F129" s="67" t="s">
        <v>104</v>
      </c>
      <c r="G129" s="68"/>
      <c r="H129" s="69"/>
      <c r="I129" s="69"/>
      <c r="J129" s="69"/>
      <c r="K129" s="69"/>
      <c r="L129" s="51" t="s">
        <v>53</v>
      </c>
      <c r="M129" s="51" t="s">
        <v>54</v>
      </c>
      <c r="N129" s="51" t="s">
        <v>55</v>
      </c>
      <c r="O129" s="51" t="s">
        <v>56</v>
      </c>
      <c r="P129" s="51" t="s">
        <v>57</v>
      </c>
      <c r="Q129" s="51" t="s">
        <v>58</v>
      </c>
      <c r="R129" s="64" t="s">
        <v>59</v>
      </c>
      <c r="S129" s="65" t="s">
        <v>60</v>
      </c>
    </row>
    <row r="130" spans="1:19" x14ac:dyDescent="0.2">
      <c r="A130" s="59" t="str">
        <f>$G$7</f>
        <v>WISE &amp; Healthy Aging</v>
      </c>
      <c r="B130" s="59" t="str">
        <f>$G$8</f>
        <v>Peer Counseling</v>
      </c>
      <c r="D130" s="59" t="s">
        <v>85</v>
      </c>
      <c r="E130" s="29" t="s">
        <v>160</v>
      </c>
      <c r="F130" s="238" t="s">
        <v>164</v>
      </c>
      <c r="G130" s="238"/>
      <c r="H130" s="46"/>
      <c r="I130" s="47"/>
      <c r="J130" s="153"/>
      <c r="K130" s="154"/>
      <c r="L130" s="239">
        <v>32918</v>
      </c>
      <c r="M130" s="239">
        <v>15847</v>
      </c>
      <c r="N130" s="242">
        <f>L130-M130</f>
        <v>17071</v>
      </c>
      <c r="O130" s="272">
        <v>7926</v>
      </c>
      <c r="P130" s="272">
        <f>15847-7926</f>
        <v>7921</v>
      </c>
      <c r="Q130" s="49">
        <f>SUM(O130:P130)</f>
        <v>15847</v>
      </c>
      <c r="R130" s="48">
        <f>IFERROR(Q130/M130,"N/A")</f>
        <v>1</v>
      </c>
      <c r="S130" s="273">
        <v>32918</v>
      </c>
    </row>
    <row r="131" spans="1:19" ht="13.5" thickBot="1" x14ac:dyDescent="0.25">
      <c r="A131" s="59" t="str">
        <f t="shared" ref="A131" si="102">$G$7</f>
        <v>WISE &amp; Healthy Aging</v>
      </c>
      <c r="B131" s="59" t="str">
        <f t="shared" ref="B131" si="103">$G$8</f>
        <v>Peer Counseling</v>
      </c>
      <c r="D131" s="59" t="s">
        <v>85</v>
      </c>
      <c r="E131" s="29" t="s">
        <v>157</v>
      </c>
      <c r="F131" s="243"/>
      <c r="G131" s="244"/>
      <c r="H131" s="46"/>
      <c r="I131" s="47"/>
      <c r="J131" s="153" t="s">
        <v>165</v>
      </c>
      <c r="K131" s="154">
        <f>IFERROR(M132/M134,"N/A")</f>
        <v>0.13650968670049188</v>
      </c>
      <c r="L131" s="242">
        <v>0</v>
      </c>
      <c r="M131" s="242">
        <v>0</v>
      </c>
      <c r="N131" s="242">
        <f t="shared" ref="N131" si="104">L131-M131</f>
        <v>0</v>
      </c>
      <c r="O131" s="272">
        <v>0</v>
      </c>
      <c r="P131" s="272">
        <v>0</v>
      </c>
      <c r="Q131" s="61">
        <f>SUM(O131:P131)</f>
        <v>0</v>
      </c>
      <c r="R131" s="62" t="str">
        <f>IFERROR(Q131/M131,"N/A")</f>
        <v>N/A</v>
      </c>
      <c r="S131" s="275">
        <v>0</v>
      </c>
    </row>
    <row r="132" spans="1:19" ht="13.5" thickBot="1" x14ac:dyDescent="0.25">
      <c r="F132" s="205"/>
      <c r="G132" s="206"/>
      <c r="H132" s="207" t="s">
        <v>166</v>
      </c>
      <c r="I132" s="13"/>
      <c r="J132" s="13"/>
      <c r="K132" s="12"/>
      <c r="L132" s="11">
        <f>SUM(L130:L131)</f>
        <v>32918</v>
      </c>
      <c r="M132" s="11">
        <f>SUM(M130:M131)</f>
        <v>15847</v>
      </c>
      <c r="N132" s="11">
        <f>SUM(N130:N131)</f>
        <v>17071</v>
      </c>
      <c r="O132" s="11">
        <f t="shared" ref="O132:Q132" si="105">SUM(O130:O131)</f>
        <v>7926</v>
      </c>
      <c r="P132" s="11">
        <f t="shared" si="105"/>
        <v>7921</v>
      </c>
      <c r="Q132" s="11">
        <f t="shared" si="105"/>
        <v>15847</v>
      </c>
      <c r="R132" s="10">
        <f>IFERROR(Q132/M132,"N/A")</f>
        <v>1</v>
      </c>
      <c r="S132" s="9">
        <f>SUM(S130:S131)</f>
        <v>32918</v>
      </c>
    </row>
    <row r="133" spans="1:19" ht="13.5" thickBot="1" x14ac:dyDescent="0.25">
      <c r="F133" s="43"/>
      <c r="G133" s="43"/>
      <c r="H133" s="43"/>
      <c r="I133" s="43"/>
      <c r="J133" s="43"/>
      <c r="K133" s="43"/>
    </row>
    <row r="134" spans="1:19" ht="15.75" thickBot="1" x14ac:dyDescent="0.3">
      <c r="F134" s="8"/>
      <c r="G134" s="6"/>
      <c r="H134" s="7" t="s">
        <v>82</v>
      </c>
      <c r="I134" s="6"/>
      <c r="J134" s="6"/>
      <c r="K134" s="5"/>
      <c r="L134" s="4">
        <f t="shared" ref="L134:Q134" si="106">SUM(L132,L123,L116,L109,L89,L82,L73,L66,L57,L47,L36)</f>
        <v>317682</v>
      </c>
      <c r="M134" s="4">
        <f t="shared" si="106"/>
        <v>116087</v>
      </c>
      <c r="N134" s="4">
        <f t="shared" si="106"/>
        <v>209595</v>
      </c>
      <c r="O134" s="4">
        <f t="shared" si="106"/>
        <v>55679.92</v>
      </c>
      <c r="P134" s="4">
        <f t="shared" si="106"/>
        <v>60407.08</v>
      </c>
      <c r="Q134" s="4">
        <f t="shared" si="106"/>
        <v>116087</v>
      </c>
      <c r="R134" s="3">
        <f>IFERROR(Q134/M134,"N/A")</f>
        <v>1</v>
      </c>
      <c r="S134" s="2">
        <f>SUM(S132,S123,S116,S109,S89,S82,S73,S66,S57,S47,S36)</f>
        <v>301011.84999999998</v>
      </c>
    </row>
    <row r="135" spans="1:19" ht="15" customHeight="1" thickBot="1" x14ac:dyDescent="0.25">
      <c r="F135" s="43"/>
      <c r="G135" s="43"/>
      <c r="H135" s="43"/>
      <c r="I135" s="43"/>
      <c r="J135" s="43"/>
      <c r="K135" s="43"/>
    </row>
    <row r="136" spans="1:19" ht="39" customHeight="1" thickBot="1" x14ac:dyDescent="0.3">
      <c r="F136" s="101" t="s">
        <v>24</v>
      </c>
      <c r="G136" s="94"/>
      <c r="H136" s="94"/>
      <c r="I136" s="94"/>
      <c r="J136" s="94"/>
      <c r="K136" s="94"/>
      <c r="L136" s="94"/>
      <c r="M136" s="94"/>
      <c r="N136" s="94"/>
      <c r="O136" s="94"/>
      <c r="P136" s="94"/>
      <c r="Q136" s="94"/>
      <c r="R136" s="94"/>
      <c r="S136" s="100"/>
    </row>
    <row r="137" spans="1:19" ht="33.75" x14ac:dyDescent="0.2">
      <c r="F137" s="107" t="s">
        <v>167</v>
      </c>
      <c r="G137" s="99" t="s">
        <v>104</v>
      </c>
      <c r="H137" s="98"/>
      <c r="I137" s="98"/>
      <c r="J137" s="98"/>
      <c r="K137" s="126"/>
      <c r="L137" s="98"/>
      <c r="M137" s="98"/>
      <c r="N137" s="108" t="s">
        <v>168</v>
      </c>
      <c r="O137" s="108" t="s">
        <v>169</v>
      </c>
      <c r="P137" s="108" t="s">
        <v>170</v>
      </c>
      <c r="Q137" s="108" t="s">
        <v>171</v>
      </c>
      <c r="R137" s="123" t="s">
        <v>172</v>
      </c>
      <c r="S137" s="109" t="s">
        <v>173</v>
      </c>
    </row>
    <row r="138" spans="1:19" x14ac:dyDescent="0.2">
      <c r="A138" s="59" t="str">
        <f t="shared" ref="A138:A143" si="107">$G$7</f>
        <v>WISE &amp; Healthy Aging</v>
      </c>
      <c r="B138" s="59" t="str">
        <f t="shared" ref="B138:B143" si="108">$G$8</f>
        <v>Peer Counseling</v>
      </c>
      <c r="D138" s="59" t="s">
        <v>24</v>
      </c>
      <c r="E138" s="29" t="str">
        <f t="shared" ref="E138:E143" si="109">F138</f>
        <v>1.  Government Grants</v>
      </c>
      <c r="F138" s="125" t="s">
        <v>174</v>
      </c>
      <c r="G138" s="276"/>
      <c r="H138" s="43"/>
      <c r="I138" s="43"/>
      <c r="J138" s="43"/>
      <c r="K138" s="127"/>
      <c r="L138" s="43"/>
      <c r="M138" s="43"/>
      <c r="N138" s="231">
        <v>0</v>
      </c>
      <c r="O138" s="270">
        <v>0</v>
      </c>
      <c r="P138" s="270">
        <v>0</v>
      </c>
      <c r="Q138" s="110">
        <f t="shared" ref="Q138:Q143" si="110">SUM(O138:P138)</f>
        <v>0</v>
      </c>
      <c r="R138" s="35"/>
      <c r="S138" s="277"/>
    </row>
    <row r="139" spans="1:19" x14ac:dyDescent="0.2">
      <c r="A139" s="59" t="str">
        <f t="shared" si="107"/>
        <v>WISE &amp; Healthy Aging</v>
      </c>
      <c r="B139" s="59" t="str">
        <f t="shared" si="108"/>
        <v>Peer Counseling</v>
      </c>
      <c r="D139" s="59" t="s">
        <v>24</v>
      </c>
      <c r="E139" s="29" t="str">
        <f t="shared" si="109"/>
        <v>2.  Private/Corporate Grants</v>
      </c>
      <c r="F139" s="125" t="s">
        <v>175</v>
      </c>
      <c r="G139" s="276"/>
      <c r="H139" s="43"/>
      <c r="I139" s="43"/>
      <c r="J139" s="43"/>
      <c r="K139" s="127"/>
      <c r="L139" s="43"/>
      <c r="M139" s="43"/>
      <c r="N139" s="231">
        <v>0</v>
      </c>
      <c r="O139" s="270">
        <v>0</v>
      </c>
      <c r="P139" s="270">
        <v>0</v>
      </c>
      <c r="Q139" s="110">
        <f t="shared" si="110"/>
        <v>0</v>
      </c>
      <c r="R139" s="35"/>
      <c r="S139" s="277"/>
    </row>
    <row r="140" spans="1:19" x14ac:dyDescent="0.2">
      <c r="A140" s="59" t="str">
        <f t="shared" si="107"/>
        <v>WISE &amp; Healthy Aging</v>
      </c>
      <c r="B140" s="59" t="str">
        <f t="shared" si="108"/>
        <v>Peer Counseling</v>
      </c>
      <c r="D140" s="59" t="s">
        <v>24</v>
      </c>
      <c r="E140" s="29" t="str">
        <f t="shared" si="109"/>
        <v>3.  Individual Donations</v>
      </c>
      <c r="F140" s="125" t="s">
        <v>176</v>
      </c>
      <c r="G140" s="276"/>
      <c r="H140" s="43"/>
      <c r="I140" s="43"/>
      <c r="J140" s="43"/>
      <c r="K140" s="127"/>
      <c r="L140" s="43"/>
      <c r="M140" s="43"/>
      <c r="N140" s="231">
        <v>0</v>
      </c>
      <c r="O140" s="270">
        <v>0</v>
      </c>
      <c r="P140" s="270">
        <v>0</v>
      </c>
      <c r="Q140" s="110">
        <f t="shared" si="110"/>
        <v>0</v>
      </c>
      <c r="S140" s="277"/>
    </row>
    <row r="141" spans="1:19" x14ac:dyDescent="0.2">
      <c r="A141" s="59" t="str">
        <f t="shared" si="107"/>
        <v>WISE &amp; Healthy Aging</v>
      </c>
      <c r="B141" s="59" t="str">
        <f t="shared" si="108"/>
        <v>Peer Counseling</v>
      </c>
      <c r="D141" s="59" t="s">
        <v>24</v>
      </c>
      <c r="E141" s="29" t="str">
        <f t="shared" si="109"/>
        <v>4.  Fundraising Events</v>
      </c>
      <c r="F141" s="125" t="s">
        <v>177</v>
      </c>
      <c r="G141" s="276"/>
      <c r="H141" s="43"/>
      <c r="I141" s="43"/>
      <c r="J141" s="43"/>
      <c r="K141" s="127"/>
      <c r="L141" s="43"/>
      <c r="M141" s="43"/>
      <c r="N141" s="231">
        <v>0</v>
      </c>
      <c r="O141" s="270">
        <v>0</v>
      </c>
      <c r="P141" s="270">
        <v>0</v>
      </c>
      <c r="Q141" s="110">
        <f t="shared" si="110"/>
        <v>0</v>
      </c>
      <c r="R141" s="105"/>
      <c r="S141" s="278"/>
    </row>
    <row r="142" spans="1:19" x14ac:dyDescent="0.2">
      <c r="A142" s="59" t="str">
        <f t="shared" si="107"/>
        <v>WISE &amp; Healthy Aging</v>
      </c>
      <c r="B142" s="59" t="str">
        <f t="shared" si="108"/>
        <v>Peer Counseling</v>
      </c>
      <c r="D142" s="59" t="s">
        <v>24</v>
      </c>
      <c r="E142" s="29" t="str">
        <f t="shared" si="109"/>
        <v>5.  Fees for Service</v>
      </c>
      <c r="F142" s="125" t="s">
        <v>178</v>
      </c>
      <c r="G142" s="276"/>
      <c r="H142" s="43"/>
      <c r="I142" s="43"/>
      <c r="J142" s="43"/>
      <c r="K142" s="127"/>
      <c r="L142" s="43"/>
      <c r="M142" s="43"/>
      <c r="N142" s="231">
        <v>0</v>
      </c>
      <c r="O142" s="270">
        <v>0</v>
      </c>
      <c r="P142" s="270">
        <v>0</v>
      </c>
      <c r="Q142" s="110">
        <f t="shared" si="110"/>
        <v>0</v>
      </c>
      <c r="R142" s="105"/>
      <c r="S142" s="278"/>
    </row>
    <row r="143" spans="1:19" x14ac:dyDescent="0.2">
      <c r="A143" s="59" t="str">
        <f t="shared" si="107"/>
        <v>WISE &amp; Healthy Aging</v>
      </c>
      <c r="B143" s="59" t="str">
        <f t="shared" si="108"/>
        <v>Peer Counseling</v>
      </c>
      <c r="D143" s="59" t="s">
        <v>24</v>
      </c>
      <c r="E143" s="29" t="str">
        <f t="shared" si="109"/>
        <v>6.  Other</v>
      </c>
      <c r="F143" s="125" t="s">
        <v>179</v>
      </c>
      <c r="G143" s="276" t="s">
        <v>180</v>
      </c>
      <c r="H143" s="43"/>
      <c r="I143" s="43"/>
      <c r="J143" s="43"/>
      <c r="K143" s="127"/>
      <c r="L143" s="43"/>
      <c r="M143" s="43"/>
      <c r="N143" s="242">
        <v>67767</v>
      </c>
      <c r="O143" s="279">
        <f>33884</f>
        <v>33884</v>
      </c>
      <c r="P143" s="279">
        <f>15801+387+6242</f>
        <v>22430</v>
      </c>
      <c r="Q143" s="111">
        <f t="shared" si="110"/>
        <v>56314</v>
      </c>
      <c r="R143" s="105"/>
      <c r="S143" s="280"/>
    </row>
    <row r="144" spans="1:19" ht="15.75" thickBot="1" x14ac:dyDescent="0.3">
      <c r="F144" s="112" t="s">
        <v>181</v>
      </c>
      <c r="G144" s="66"/>
      <c r="H144" s="102" t="s">
        <v>182</v>
      </c>
      <c r="I144" s="103"/>
      <c r="J144" s="103"/>
      <c r="K144" s="103"/>
      <c r="L144" s="103"/>
      <c r="M144" s="103"/>
      <c r="N144" s="113">
        <f>SUM(N138:N143)</f>
        <v>67767</v>
      </c>
      <c r="O144" s="113">
        <f>SUM(O138:O143)</f>
        <v>33884</v>
      </c>
      <c r="P144" s="113">
        <f>SUM(P138:P143)</f>
        <v>22430</v>
      </c>
      <c r="Q144" s="113">
        <f>SUM(Q138:Q143)</f>
        <v>56314</v>
      </c>
      <c r="R144" s="106">
        <f>'CASH MATCH'!E20</f>
        <v>56313.525200000004</v>
      </c>
      <c r="S144" s="114">
        <f>IFERROR(Q144-R144,"N/A")</f>
        <v>0.47479999999632128</v>
      </c>
    </row>
    <row r="145" spans="1:24" s="93" customFormat="1" ht="13.5" thickBot="1" x14ac:dyDescent="0.25">
      <c r="A145" s="59"/>
      <c r="B145" s="59"/>
      <c r="C145" s="59"/>
      <c r="D145" s="59"/>
      <c r="E145" s="92"/>
      <c r="F145" s="115"/>
      <c r="G145" s="127"/>
      <c r="H145" s="127"/>
      <c r="I145" s="127"/>
      <c r="J145" s="127"/>
      <c r="K145" s="128"/>
      <c r="L145" s="29"/>
      <c r="M145" s="29"/>
      <c r="N145" s="29"/>
      <c r="O145" s="29"/>
      <c r="P145" s="29"/>
      <c r="Q145" s="29"/>
      <c r="R145" s="28"/>
      <c r="S145" s="27"/>
      <c r="T145" s="284"/>
      <c r="U145" s="284"/>
      <c r="V145" s="284"/>
      <c r="W145" s="284"/>
      <c r="X145" s="284"/>
    </row>
    <row r="146" spans="1:24" s="93" customFormat="1" x14ac:dyDescent="0.2">
      <c r="A146" s="59"/>
      <c r="B146" s="59"/>
      <c r="C146" s="59"/>
      <c r="D146" s="59"/>
      <c r="E146" s="92"/>
      <c r="F146" s="42" t="s">
        <v>183</v>
      </c>
      <c r="G146" s="41"/>
      <c r="H146" s="41"/>
      <c r="I146" s="41"/>
      <c r="J146" s="41"/>
      <c r="K146" s="40"/>
      <c r="L146" s="40"/>
      <c r="M146" s="40"/>
      <c r="N146" s="40"/>
      <c r="O146" s="40"/>
      <c r="P146" s="40"/>
      <c r="Q146" s="40"/>
      <c r="R146" s="39"/>
      <c r="S146" s="38"/>
      <c r="T146" s="284"/>
      <c r="U146" s="284"/>
      <c r="V146" s="284"/>
      <c r="W146" s="284"/>
      <c r="X146" s="284"/>
    </row>
    <row r="147" spans="1:24" ht="13.5" thickBot="1" x14ac:dyDescent="0.25">
      <c r="F147" s="34" t="s">
        <v>184</v>
      </c>
      <c r="G147" s="33"/>
      <c r="H147" s="33"/>
      <c r="I147" s="33"/>
      <c r="J147" s="33"/>
      <c r="K147" s="32"/>
      <c r="L147" s="32"/>
      <c r="M147" s="32"/>
      <c r="N147" s="32"/>
      <c r="O147" s="32"/>
      <c r="P147" s="32"/>
      <c r="Q147" s="32"/>
      <c r="R147" s="31"/>
      <c r="S147" s="30"/>
    </row>
  </sheetData>
  <sheetProtection algorithmName="SHA-512" hashValue="FXHEx6qsdlRGr92gF03TCNmfEOAywJfdEDE8+2R2AfCXaDSOqjii0DmP+ui09pPrH/XHMFfppWgFjqp0afCGJQ==" saltValue="qDFlEHDtllVjroNKD5kq2Q==" spinCount="100000" sheet="1" objects="1" scenarios="1"/>
  <conditionalFormatting sqref="G138:G143">
    <cfRule type="containsText" dxfId="0" priority="48" operator="containsText" text="VARIANCE">
      <formula>NOT(ISERROR(SEARCH("VARIANCE",G138)))</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0:K131"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121 R41:R45 R53:R55 R62:R64 R71 R78:R80 R87 R94:R107 R114 R28:R35"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31</v>
      </c>
      <c r="B1" s="131" t="s">
        <v>32</v>
      </c>
      <c r="C1" s="131" t="s">
        <v>33</v>
      </c>
      <c r="D1" s="131" t="s">
        <v>34</v>
      </c>
      <c r="E1" s="132" t="s">
        <v>35</v>
      </c>
      <c r="F1" s="133" t="s">
        <v>36</v>
      </c>
      <c r="G1" s="134" t="s">
        <v>185</v>
      </c>
      <c r="H1" s="134" t="s">
        <v>186</v>
      </c>
      <c r="I1" s="134" t="s">
        <v>187</v>
      </c>
    </row>
    <row r="2" spans="1:13" ht="18" collapsed="1" x14ac:dyDescent="0.2">
      <c r="A2" s="131"/>
      <c r="B2" s="131"/>
      <c r="C2" s="131"/>
      <c r="D2" s="131"/>
      <c r="E2" s="132"/>
      <c r="F2" s="137" t="s">
        <v>50</v>
      </c>
      <c r="G2" s="215"/>
      <c r="H2" s="139"/>
      <c r="I2" s="139"/>
      <c r="J2" s="139"/>
      <c r="K2" s="216"/>
    </row>
    <row r="3" spans="1:13" ht="18" x14ac:dyDescent="0.2">
      <c r="A3" s="131"/>
      <c r="B3" s="131"/>
      <c r="C3" s="131"/>
      <c r="D3" s="131"/>
      <c r="E3" s="132"/>
      <c r="F3" s="137" t="s">
        <v>188</v>
      </c>
      <c r="G3" s="217"/>
      <c r="H3" s="217"/>
      <c r="I3" s="218"/>
      <c r="J3" s="218"/>
      <c r="K3" s="217"/>
      <c r="L3" s="217"/>
      <c r="M3" s="217"/>
    </row>
    <row r="4" spans="1:13" x14ac:dyDescent="0.2">
      <c r="A4" s="131"/>
      <c r="B4" s="131"/>
      <c r="C4" s="131"/>
      <c r="D4" s="131"/>
      <c r="E4" s="132"/>
      <c r="F4" s="138"/>
      <c r="G4" s="215"/>
      <c r="H4" s="139"/>
      <c r="I4" s="139"/>
      <c r="J4" s="139"/>
      <c r="K4" s="216"/>
    </row>
    <row r="5" spans="1:13" s="149" customFormat="1" ht="30" x14ac:dyDescent="0.2">
      <c r="A5" s="146"/>
      <c r="B5" s="146"/>
      <c r="C5" s="146"/>
      <c r="D5" s="147"/>
      <c r="E5" s="148"/>
      <c r="F5" s="251" t="s">
        <v>189</v>
      </c>
      <c r="G5" s="219" t="s">
        <v>190</v>
      </c>
      <c r="H5" s="219" t="s">
        <v>191</v>
      </c>
      <c r="I5" s="219" t="s">
        <v>192</v>
      </c>
      <c r="J5" s="152"/>
      <c r="L5" s="152"/>
      <c r="M5" s="152"/>
    </row>
    <row r="6" spans="1:13" s="149" customFormat="1" ht="14.25" x14ac:dyDescent="0.2">
      <c r="A6" s="146" t="str">
        <f>'PROGRAM BUDGET &amp; FISCAL REPORT'!$G$7</f>
        <v>WISE &amp; Healthy Aging</v>
      </c>
      <c r="B6" s="146" t="str">
        <f>'PROGRAM BUDGET &amp; FISCAL REPORT'!$G$8</f>
        <v>Peer Counseling</v>
      </c>
      <c r="C6" s="146"/>
      <c r="D6" s="146" t="s">
        <v>193</v>
      </c>
      <c r="E6" s="149" t="s">
        <v>194</v>
      </c>
      <c r="F6" s="220" t="s">
        <v>195</v>
      </c>
      <c r="G6" s="245">
        <v>135</v>
      </c>
      <c r="H6" s="254">
        <v>121</v>
      </c>
      <c r="I6" s="254">
        <v>125</v>
      </c>
      <c r="J6" s="152"/>
      <c r="L6" s="152"/>
      <c r="M6" s="152"/>
    </row>
    <row r="7" spans="1:13" s="149" customFormat="1" ht="14.25" x14ac:dyDescent="0.2">
      <c r="A7" s="146" t="str">
        <f>'PROGRAM BUDGET &amp; FISCAL REPORT'!$G$7</f>
        <v>WISE &amp; Healthy Aging</v>
      </c>
      <c r="B7" s="146" t="str">
        <f>'PROGRAM BUDGET &amp; FISCAL REPORT'!$G$8</f>
        <v>Peer Counseling</v>
      </c>
      <c r="C7" s="146"/>
      <c r="D7" s="146" t="s">
        <v>193</v>
      </c>
      <c r="E7" s="149" t="s">
        <v>194</v>
      </c>
      <c r="F7" s="220" t="s">
        <v>196</v>
      </c>
      <c r="G7" s="245">
        <v>75</v>
      </c>
      <c r="H7" s="254">
        <v>67</v>
      </c>
      <c r="I7" s="254">
        <v>69</v>
      </c>
      <c r="J7" s="152"/>
      <c r="L7" s="152"/>
      <c r="M7" s="152"/>
    </row>
    <row r="8" spans="1:13" s="149" customFormat="1" ht="14.25" x14ac:dyDescent="0.2">
      <c r="A8" s="146" t="str">
        <f>'PROGRAM BUDGET &amp; FISCAL REPORT'!$G$7</f>
        <v>WISE &amp; Healthy Aging</v>
      </c>
      <c r="B8" s="146" t="str">
        <f>'PROGRAM BUDGET &amp; FISCAL REPORT'!$G$8</f>
        <v>Peer Counseling</v>
      </c>
      <c r="C8" s="146"/>
      <c r="D8" s="146" t="s">
        <v>193</v>
      </c>
      <c r="E8" s="149" t="s">
        <v>194</v>
      </c>
      <c r="F8" s="220" t="s">
        <v>197</v>
      </c>
      <c r="G8" s="249">
        <v>30</v>
      </c>
      <c r="H8" s="255">
        <v>24</v>
      </c>
      <c r="I8" s="255">
        <v>25</v>
      </c>
      <c r="J8" s="152"/>
      <c r="L8" s="152"/>
      <c r="M8" s="152"/>
    </row>
    <row r="9" spans="1:13" s="149" customFormat="1" ht="14.25" x14ac:dyDescent="0.2">
      <c r="A9" s="146" t="str">
        <f>'PROGRAM BUDGET &amp; FISCAL REPORT'!$G$7</f>
        <v>WISE &amp; Healthy Aging</v>
      </c>
      <c r="B9" s="146" t="str">
        <f>'PROGRAM BUDGET &amp; FISCAL REPORT'!$G$8</f>
        <v>Peer Counseling</v>
      </c>
      <c r="C9" s="146"/>
      <c r="D9" s="146" t="s">
        <v>193</v>
      </c>
      <c r="E9" s="149" t="s">
        <v>194</v>
      </c>
      <c r="F9" s="220" t="s">
        <v>198</v>
      </c>
      <c r="G9" s="249">
        <v>1</v>
      </c>
      <c r="H9" s="255">
        <v>0</v>
      </c>
      <c r="I9" s="255">
        <v>0</v>
      </c>
      <c r="J9" s="152"/>
      <c r="L9" s="152"/>
      <c r="M9" s="152"/>
    </row>
    <row r="10" spans="1:13" s="149" customFormat="1" ht="14.25" x14ac:dyDescent="0.2">
      <c r="A10" s="146" t="str">
        <f>'PROGRAM BUDGET &amp; FISCAL REPORT'!$G$7</f>
        <v>WISE &amp; Healthy Aging</v>
      </c>
      <c r="B10" s="146" t="str">
        <f>'PROGRAM BUDGET &amp; FISCAL REPORT'!$G$8</f>
        <v>Peer Counseling</v>
      </c>
      <c r="C10" s="146"/>
      <c r="D10" s="146" t="s">
        <v>193</v>
      </c>
      <c r="E10" s="149" t="s">
        <v>194</v>
      </c>
      <c r="F10" s="220" t="s">
        <v>199</v>
      </c>
      <c r="G10" s="249">
        <v>26</v>
      </c>
      <c r="H10" s="255">
        <v>23</v>
      </c>
      <c r="I10" s="255">
        <v>23</v>
      </c>
      <c r="J10" s="152"/>
      <c r="L10" s="152"/>
      <c r="M10" s="152"/>
    </row>
    <row r="11" spans="1:13" s="149" customFormat="1" ht="14.25" x14ac:dyDescent="0.2">
      <c r="A11" s="146" t="str">
        <f>'PROGRAM BUDGET &amp; FISCAL REPORT'!$G$7</f>
        <v>WISE &amp; Healthy Aging</v>
      </c>
      <c r="B11" s="146" t="str">
        <f>'PROGRAM BUDGET &amp; FISCAL REPORT'!$G$8</f>
        <v>Peer Counseling</v>
      </c>
      <c r="C11" s="146"/>
      <c r="D11" s="146" t="s">
        <v>193</v>
      </c>
      <c r="E11" s="149" t="s">
        <v>194</v>
      </c>
      <c r="F11" s="220" t="s">
        <v>200</v>
      </c>
      <c r="G11" s="249" t="s">
        <v>201</v>
      </c>
      <c r="H11" s="255">
        <v>4</v>
      </c>
      <c r="I11" s="255">
        <v>4</v>
      </c>
      <c r="J11" s="152"/>
      <c r="L11" s="152"/>
      <c r="M11" s="152"/>
    </row>
    <row r="12" spans="1:13" s="149" customFormat="1" ht="14.25" x14ac:dyDescent="0.2">
      <c r="A12" s="146" t="str">
        <f>'PROGRAM BUDGET &amp; FISCAL REPORT'!$G$7</f>
        <v>WISE &amp; Healthy Aging</v>
      </c>
      <c r="B12" s="146" t="str">
        <f>'PROGRAM BUDGET &amp; FISCAL REPORT'!$G$8</f>
        <v>Peer Counseling</v>
      </c>
      <c r="C12" s="146"/>
      <c r="D12" s="146" t="s">
        <v>193</v>
      </c>
      <c r="E12" s="149" t="s">
        <v>194</v>
      </c>
      <c r="F12" s="220" t="s">
        <v>202</v>
      </c>
      <c r="G12" s="249">
        <v>8</v>
      </c>
      <c r="H12" s="255">
        <v>10</v>
      </c>
      <c r="I12" s="255">
        <v>10</v>
      </c>
      <c r="J12" s="152"/>
      <c r="L12" s="152"/>
      <c r="M12" s="152"/>
    </row>
    <row r="13" spans="1:13" s="149" customFormat="1" ht="14.25" x14ac:dyDescent="0.2">
      <c r="A13" s="146" t="str">
        <f>'PROGRAM BUDGET &amp; FISCAL REPORT'!$G$7</f>
        <v>WISE &amp; Healthy Aging</v>
      </c>
      <c r="B13" s="146" t="str">
        <f>'PROGRAM BUDGET &amp; FISCAL REPORT'!$G$8</f>
        <v>Peer Counseling</v>
      </c>
      <c r="C13" s="146"/>
      <c r="D13" s="146" t="s">
        <v>193</v>
      </c>
      <c r="E13" s="149" t="s">
        <v>194</v>
      </c>
      <c r="F13" s="220" t="s">
        <v>203</v>
      </c>
      <c r="G13" s="249">
        <v>5</v>
      </c>
      <c r="H13" s="255">
        <v>6</v>
      </c>
      <c r="I13" s="255">
        <v>6</v>
      </c>
      <c r="J13" s="152"/>
      <c r="L13" s="152"/>
      <c r="M13" s="152"/>
    </row>
    <row r="14" spans="1:13" s="149" customFormat="1" ht="14.25" x14ac:dyDescent="0.2">
      <c r="A14" s="146"/>
      <c r="B14" s="146"/>
      <c r="C14" s="146"/>
      <c r="D14" s="146"/>
      <c r="F14" s="150"/>
      <c r="G14" s="151"/>
      <c r="H14" s="151"/>
      <c r="I14" s="151"/>
      <c r="J14" s="152"/>
      <c r="L14" s="152"/>
      <c r="M14" s="152"/>
    </row>
    <row r="15" spans="1:13" s="149" customFormat="1" ht="30" x14ac:dyDescent="0.2">
      <c r="A15" s="146"/>
      <c r="B15" s="146"/>
      <c r="C15" s="146"/>
      <c r="D15" s="146"/>
      <c r="F15" s="251" t="s">
        <v>204</v>
      </c>
      <c r="G15" s="219" t="s">
        <v>190</v>
      </c>
      <c r="H15" s="219" t="s">
        <v>191</v>
      </c>
      <c r="I15" s="219" t="s">
        <v>192</v>
      </c>
      <c r="J15" s="152"/>
      <c r="L15" s="152"/>
      <c r="M15" s="152"/>
    </row>
    <row r="16" spans="1:13" s="149" customFormat="1" ht="14.25" x14ac:dyDescent="0.2">
      <c r="A16" s="146" t="str">
        <f>'PROGRAM BUDGET &amp; FISCAL REPORT'!$G$7</f>
        <v>WISE &amp; Healthy Aging</v>
      </c>
      <c r="B16" s="146" t="str">
        <f>'PROGRAM BUDGET &amp; FISCAL REPORT'!$G$8</f>
        <v>Peer Counseling</v>
      </c>
      <c r="C16" s="146"/>
      <c r="D16" s="146" t="s">
        <v>193</v>
      </c>
      <c r="E16" s="149" t="s">
        <v>205</v>
      </c>
      <c r="F16" s="220" t="s">
        <v>206</v>
      </c>
      <c r="G16" s="249">
        <v>5</v>
      </c>
      <c r="H16" s="255">
        <v>2</v>
      </c>
      <c r="I16" s="255">
        <v>2</v>
      </c>
      <c r="J16" s="152"/>
      <c r="L16" s="152"/>
      <c r="M16" s="152"/>
    </row>
    <row r="17" spans="1:13" s="149" customFormat="1" ht="14.25" x14ac:dyDescent="0.2">
      <c r="A17" s="146" t="str">
        <f>'PROGRAM BUDGET &amp; FISCAL REPORT'!$G$7</f>
        <v>WISE &amp; Healthy Aging</v>
      </c>
      <c r="B17" s="146" t="str">
        <f>'PROGRAM BUDGET &amp; FISCAL REPORT'!$G$8</f>
        <v>Peer Counseling</v>
      </c>
      <c r="C17" s="146"/>
      <c r="D17" s="146" t="s">
        <v>193</v>
      </c>
      <c r="E17" s="149" t="s">
        <v>205</v>
      </c>
      <c r="F17" s="220" t="s">
        <v>207</v>
      </c>
      <c r="G17" s="249">
        <v>4</v>
      </c>
      <c r="H17" s="255">
        <v>4</v>
      </c>
      <c r="I17" s="255">
        <v>4</v>
      </c>
      <c r="J17" s="152"/>
      <c r="L17" s="152"/>
      <c r="M17" s="152"/>
    </row>
    <row r="18" spans="1:13" s="149" customFormat="1" ht="14.25" x14ac:dyDescent="0.2">
      <c r="A18" s="146" t="str">
        <f>'PROGRAM BUDGET &amp; FISCAL REPORT'!$G$7</f>
        <v>WISE &amp; Healthy Aging</v>
      </c>
      <c r="B18" s="146" t="str">
        <f>'PROGRAM BUDGET &amp; FISCAL REPORT'!$G$8</f>
        <v>Peer Counseling</v>
      </c>
      <c r="C18" s="146"/>
      <c r="D18" s="146" t="s">
        <v>193</v>
      </c>
      <c r="E18" s="149" t="s">
        <v>205</v>
      </c>
      <c r="F18" s="220" t="s">
        <v>208</v>
      </c>
      <c r="G18" s="249">
        <v>2</v>
      </c>
      <c r="H18" s="255">
        <v>2</v>
      </c>
      <c r="I18" s="255">
        <v>2</v>
      </c>
      <c r="J18" s="152"/>
      <c r="L18" s="152"/>
      <c r="M18" s="152"/>
    </row>
    <row r="19" spans="1:13" s="149" customFormat="1" ht="14.25" x14ac:dyDescent="0.2">
      <c r="A19" s="146" t="str">
        <f>'PROGRAM BUDGET &amp; FISCAL REPORT'!$G$7</f>
        <v>WISE &amp; Healthy Aging</v>
      </c>
      <c r="B19" s="146" t="str">
        <f>'PROGRAM BUDGET &amp; FISCAL REPORT'!$G$8</f>
        <v>Peer Counseling</v>
      </c>
      <c r="C19" s="146"/>
      <c r="D19" s="146" t="s">
        <v>193</v>
      </c>
      <c r="E19" s="149" t="s">
        <v>205</v>
      </c>
      <c r="F19" s="220" t="s">
        <v>209</v>
      </c>
      <c r="G19" s="249">
        <v>62</v>
      </c>
      <c r="H19" s="255">
        <v>57</v>
      </c>
      <c r="I19" s="255">
        <v>59</v>
      </c>
      <c r="J19" s="152"/>
      <c r="L19" s="152"/>
      <c r="M19" s="152"/>
    </row>
    <row r="20" spans="1:13" s="149" customFormat="1" ht="14.25" x14ac:dyDescent="0.2">
      <c r="A20" s="146" t="str">
        <f>'PROGRAM BUDGET &amp; FISCAL REPORT'!$G$7</f>
        <v>WISE &amp; Healthy Aging</v>
      </c>
      <c r="B20" s="146" t="str">
        <f>'PROGRAM BUDGET &amp; FISCAL REPORT'!$G$8</f>
        <v>Peer Counseling</v>
      </c>
      <c r="C20" s="146"/>
      <c r="D20" s="146" t="s">
        <v>193</v>
      </c>
      <c r="E20" s="149" t="s">
        <v>205</v>
      </c>
      <c r="F20" s="220" t="s">
        <v>210</v>
      </c>
      <c r="G20" s="249">
        <v>2</v>
      </c>
      <c r="H20" s="255">
        <v>1</v>
      </c>
      <c r="I20" s="255">
        <v>1</v>
      </c>
      <c r="J20" s="152"/>
      <c r="L20" s="152"/>
      <c r="M20" s="152"/>
    </row>
    <row r="21" spans="1:13" s="149" customFormat="1" ht="14.25" x14ac:dyDescent="0.2">
      <c r="A21" s="146" t="str">
        <f>'PROGRAM BUDGET &amp; FISCAL REPORT'!$G$7</f>
        <v>WISE &amp; Healthy Aging</v>
      </c>
      <c r="B21" s="146" t="str">
        <f>'PROGRAM BUDGET &amp; FISCAL REPORT'!$G$8</f>
        <v>Peer Counseling</v>
      </c>
      <c r="C21" s="146"/>
      <c r="D21" s="146" t="s">
        <v>193</v>
      </c>
      <c r="E21" s="149" t="s">
        <v>205</v>
      </c>
      <c r="F21" s="220" t="s">
        <v>211</v>
      </c>
      <c r="G21" s="249">
        <v>0</v>
      </c>
      <c r="H21" s="255">
        <v>0</v>
      </c>
      <c r="I21" s="255">
        <v>0</v>
      </c>
      <c r="J21" s="152"/>
      <c r="L21" s="152"/>
      <c r="M21" s="152"/>
    </row>
    <row r="22" spans="1:13" s="149" customFormat="1" ht="14.25" x14ac:dyDescent="0.2">
      <c r="A22" s="146" t="str">
        <f>'PROGRAM BUDGET &amp; FISCAL REPORT'!$G$7</f>
        <v>WISE &amp; Healthy Aging</v>
      </c>
      <c r="B22" s="146" t="str">
        <f>'PROGRAM BUDGET &amp; FISCAL REPORT'!$G$8</f>
        <v>Peer Counseling</v>
      </c>
      <c r="C22" s="146"/>
      <c r="D22" s="146" t="s">
        <v>193</v>
      </c>
      <c r="E22" s="149" t="s">
        <v>205</v>
      </c>
      <c r="F22" s="220" t="s">
        <v>212</v>
      </c>
      <c r="G22" s="249">
        <v>0</v>
      </c>
      <c r="H22" s="255">
        <v>1</v>
      </c>
      <c r="I22" s="255">
        <v>1</v>
      </c>
      <c r="J22" s="152"/>
      <c r="L22" s="152"/>
      <c r="M22" s="152"/>
    </row>
    <row r="23" spans="1:13" s="149" customFormat="1" ht="15" x14ac:dyDescent="0.2">
      <c r="A23" s="146"/>
      <c r="B23" s="146"/>
      <c r="C23" s="146"/>
      <c r="D23" s="146"/>
      <c r="F23" s="221" t="s">
        <v>213</v>
      </c>
      <c r="G23" s="211">
        <f>SUM(G16:G22)</f>
        <v>75</v>
      </c>
      <c r="H23" s="211">
        <f>SUM(H16:H22)</f>
        <v>67</v>
      </c>
      <c r="I23" s="211">
        <f>SUM(I16:I22)</f>
        <v>69</v>
      </c>
      <c r="J23" s="152"/>
      <c r="L23" s="152"/>
      <c r="M23" s="152"/>
    </row>
    <row r="24" spans="1:13" s="149" customFormat="1" ht="14.25" x14ac:dyDescent="0.2">
      <c r="A24" s="146"/>
      <c r="B24" s="146"/>
      <c r="C24" s="146"/>
      <c r="D24" s="146"/>
      <c r="G24" s="151"/>
      <c r="H24" s="151"/>
      <c r="I24" s="151"/>
      <c r="J24" s="152"/>
      <c r="L24" s="152"/>
      <c r="M24" s="152"/>
    </row>
    <row r="25" spans="1:13" s="149" customFormat="1" ht="30" x14ac:dyDescent="0.2">
      <c r="A25" s="146"/>
      <c r="B25" s="146"/>
      <c r="C25" s="146"/>
      <c r="D25" s="146"/>
      <c r="F25" s="251" t="s">
        <v>214</v>
      </c>
      <c r="G25" s="219" t="s">
        <v>190</v>
      </c>
      <c r="H25" s="219" t="s">
        <v>191</v>
      </c>
      <c r="I25" s="219" t="s">
        <v>192</v>
      </c>
      <c r="J25" s="152"/>
      <c r="L25" s="152"/>
      <c r="M25" s="152"/>
    </row>
    <row r="26" spans="1:13" s="149" customFormat="1" ht="14.25" x14ac:dyDescent="0.2">
      <c r="A26" s="146" t="str">
        <f>'PROGRAM BUDGET &amp; FISCAL REPORT'!$G$7</f>
        <v>WISE &amp; Healthy Aging</v>
      </c>
      <c r="B26" s="146" t="str">
        <f>'PROGRAM BUDGET &amp; FISCAL REPORT'!$G$8</f>
        <v>Peer Counseling</v>
      </c>
      <c r="C26" s="146"/>
      <c r="D26" s="146" t="s">
        <v>193</v>
      </c>
      <c r="E26" s="149" t="s">
        <v>215</v>
      </c>
      <c r="F26" s="220">
        <v>90401</v>
      </c>
      <c r="G26" s="249" t="s">
        <v>201</v>
      </c>
      <c r="H26" s="255">
        <v>9</v>
      </c>
      <c r="I26" s="255">
        <v>9</v>
      </c>
      <c r="J26" s="152"/>
      <c r="L26" s="152"/>
      <c r="M26" s="152"/>
    </row>
    <row r="27" spans="1:13" s="149" customFormat="1" ht="14.25" x14ac:dyDescent="0.2">
      <c r="A27" s="146" t="str">
        <f>'PROGRAM BUDGET &amp; FISCAL REPORT'!$G$7</f>
        <v>WISE &amp; Healthy Aging</v>
      </c>
      <c r="B27" s="146" t="str">
        <f>'PROGRAM BUDGET &amp; FISCAL REPORT'!$G$8</f>
        <v>Peer Counseling</v>
      </c>
      <c r="C27" s="146"/>
      <c r="D27" s="146" t="s">
        <v>193</v>
      </c>
      <c r="E27" s="149" t="s">
        <v>215</v>
      </c>
      <c r="F27" s="220">
        <v>90402</v>
      </c>
      <c r="G27" s="249" t="s">
        <v>201</v>
      </c>
      <c r="H27" s="255">
        <v>9</v>
      </c>
      <c r="I27" s="255">
        <v>9</v>
      </c>
      <c r="J27" s="152"/>
      <c r="L27" s="152"/>
      <c r="M27" s="152"/>
    </row>
    <row r="28" spans="1:13" s="149" customFormat="1" ht="14.25" x14ac:dyDescent="0.2">
      <c r="A28" s="146" t="str">
        <f>'PROGRAM BUDGET &amp; FISCAL REPORT'!$G$7</f>
        <v>WISE &amp; Healthy Aging</v>
      </c>
      <c r="B28" s="146" t="str">
        <f>'PROGRAM BUDGET &amp; FISCAL REPORT'!$G$8</f>
        <v>Peer Counseling</v>
      </c>
      <c r="C28" s="146"/>
      <c r="D28" s="146" t="s">
        <v>193</v>
      </c>
      <c r="E28" s="149" t="s">
        <v>215</v>
      </c>
      <c r="F28" s="220">
        <v>90403</v>
      </c>
      <c r="G28" s="249" t="s">
        <v>201</v>
      </c>
      <c r="H28" s="255">
        <v>19</v>
      </c>
      <c r="I28" s="255">
        <v>19</v>
      </c>
      <c r="J28" s="152"/>
      <c r="L28" s="152"/>
      <c r="M28" s="152"/>
    </row>
    <row r="29" spans="1:13" s="149" customFormat="1" ht="14.25" x14ac:dyDescent="0.2">
      <c r="A29" s="146" t="str">
        <f>'PROGRAM BUDGET &amp; FISCAL REPORT'!$G$7</f>
        <v>WISE &amp; Healthy Aging</v>
      </c>
      <c r="B29" s="146" t="str">
        <f>'PROGRAM BUDGET &amp; FISCAL REPORT'!$G$8</f>
        <v>Peer Counseling</v>
      </c>
      <c r="C29" s="146"/>
      <c r="D29" s="146" t="s">
        <v>193</v>
      </c>
      <c r="E29" s="149" t="s">
        <v>215</v>
      </c>
      <c r="F29" s="220">
        <v>90404</v>
      </c>
      <c r="G29" s="249" t="s">
        <v>201</v>
      </c>
      <c r="H29" s="255">
        <v>10</v>
      </c>
      <c r="I29" s="255">
        <v>10</v>
      </c>
      <c r="J29" s="152"/>
      <c r="L29" s="152"/>
      <c r="M29" s="152"/>
    </row>
    <row r="30" spans="1:13" s="149" customFormat="1" ht="14.25" x14ac:dyDescent="0.2">
      <c r="A30" s="146" t="str">
        <f>'PROGRAM BUDGET &amp; FISCAL REPORT'!$G$7</f>
        <v>WISE &amp; Healthy Aging</v>
      </c>
      <c r="B30" s="146" t="str">
        <f>'PROGRAM BUDGET &amp; FISCAL REPORT'!$G$8</f>
        <v>Peer Counseling</v>
      </c>
      <c r="C30" s="146"/>
      <c r="D30" s="146" t="s">
        <v>193</v>
      </c>
      <c r="E30" s="149" t="s">
        <v>215</v>
      </c>
      <c r="F30" s="220">
        <v>90405</v>
      </c>
      <c r="G30" s="249" t="s">
        <v>201</v>
      </c>
      <c r="H30" s="255">
        <v>20</v>
      </c>
      <c r="I30" s="255">
        <v>22</v>
      </c>
      <c r="J30" s="152"/>
      <c r="L30" s="152"/>
      <c r="M30" s="152"/>
    </row>
    <row r="31" spans="1:13" s="149" customFormat="1" ht="14.25" x14ac:dyDescent="0.2">
      <c r="A31" s="146" t="str">
        <f>'PROGRAM BUDGET &amp; FISCAL REPORT'!$G$7</f>
        <v>WISE &amp; Healthy Aging</v>
      </c>
      <c r="B31" s="146" t="str">
        <f>'PROGRAM BUDGET &amp; FISCAL REPORT'!$G$8</f>
        <v>Peer Counseling</v>
      </c>
      <c r="C31" s="146"/>
      <c r="D31" s="146" t="s">
        <v>193</v>
      </c>
      <c r="E31" s="149" t="s">
        <v>215</v>
      </c>
      <c r="F31" s="220" t="s">
        <v>216</v>
      </c>
      <c r="G31" s="249" t="s">
        <v>201</v>
      </c>
      <c r="H31" s="255">
        <v>0</v>
      </c>
      <c r="I31" s="255">
        <v>0</v>
      </c>
      <c r="J31" s="152"/>
      <c r="L31" s="152"/>
      <c r="M31" s="152"/>
    </row>
    <row r="32" spans="1:13" s="149" customFormat="1" ht="15" x14ac:dyDescent="0.2">
      <c r="A32" s="146"/>
      <c r="B32" s="146"/>
      <c r="C32" s="146"/>
      <c r="D32" s="146"/>
      <c r="F32" s="221" t="s">
        <v>213</v>
      </c>
      <c r="G32" s="211">
        <f>SUM(G26:G31)</f>
        <v>0</v>
      </c>
      <c r="H32" s="211">
        <f>SUM(H26:H31)</f>
        <v>67</v>
      </c>
      <c r="I32" s="211">
        <f>SUM(I26:I31)</f>
        <v>69</v>
      </c>
      <c r="J32" s="152"/>
      <c r="L32" s="152"/>
      <c r="M32" s="152"/>
    </row>
    <row r="33" spans="1:13" s="149" customFormat="1" ht="15" x14ac:dyDescent="0.2">
      <c r="A33" s="147"/>
      <c r="B33" s="147"/>
      <c r="C33" s="146"/>
      <c r="D33" s="146"/>
      <c r="G33" s="152"/>
      <c r="H33" s="151"/>
      <c r="I33" s="151"/>
      <c r="J33" s="152"/>
      <c r="L33" s="152"/>
      <c r="M33" s="152"/>
    </row>
    <row r="34" spans="1:13" s="149" customFormat="1" ht="30" x14ac:dyDescent="0.2">
      <c r="A34" s="146"/>
      <c r="B34" s="146"/>
      <c r="C34" s="146"/>
      <c r="D34" s="146"/>
      <c r="G34" s="219" t="s">
        <v>191</v>
      </c>
      <c r="H34" s="219" t="s">
        <v>191</v>
      </c>
      <c r="I34" s="219" t="s">
        <v>191</v>
      </c>
      <c r="J34" s="219" t="s">
        <v>192</v>
      </c>
      <c r="K34" s="219" t="s">
        <v>192</v>
      </c>
      <c r="L34" s="219" t="s">
        <v>192</v>
      </c>
    </row>
    <row r="35" spans="1:13" s="149" customFormat="1" ht="30" x14ac:dyDescent="0.2">
      <c r="A35" s="146"/>
      <c r="B35" s="146"/>
      <c r="C35" s="146"/>
      <c r="D35" s="146"/>
      <c r="F35" s="251" t="s">
        <v>217</v>
      </c>
      <c r="G35" s="219" t="s">
        <v>218</v>
      </c>
      <c r="H35" s="219" t="s">
        <v>219</v>
      </c>
      <c r="I35" s="219" t="s">
        <v>220</v>
      </c>
      <c r="J35" s="219" t="s">
        <v>218</v>
      </c>
      <c r="K35" s="219" t="s">
        <v>219</v>
      </c>
      <c r="L35" s="219" t="s">
        <v>220</v>
      </c>
    </row>
    <row r="36" spans="1:13" s="149" customFormat="1" ht="14.25" x14ac:dyDescent="0.2">
      <c r="A36" s="146" t="str">
        <f>'PROGRAM BUDGET &amp; FISCAL REPORT'!$G$7</f>
        <v>WISE &amp; Healthy Aging</v>
      </c>
      <c r="B36" s="146" t="str">
        <f>'PROGRAM BUDGET &amp; FISCAL REPORT'!$G$8</f>
        <v>Peer Counseling</v>
      </c>
      <c r="C36" s="146" t="s">
        <v>186</v>
      </c>
      <c r="D36" s="146" t="s">
        <v>193</v>
      </c>
      <c r="E36" s="149" t="s">
        <v>221</v>
      </c>
      <c r="F36" s="212" t="s">
        <v>222</v>
      </c>
      <c r="G36" s="256"/>
      <c r="H36" s="257"/>
      <c r="I36" s="257"/>
      <c r="J36" s="256"/>
      <c r="K36" s="257"/>
      <c r="L36" s="257"/>
    </row>
    <row r="37" spans="1:13" s="149" customFormat="1" ht="14.25" x14ac:dyDescent="0.2">
      <c r="A37" s="146" t="str">
        <f>'PROGRAM BUDGET &amp; FISCAL REPORT'!$G$7</f>
        <v>WISE &amp; Healthy Aging</v>
      </c>
      <c r="B37" s="146" t="str">
        <f>'PROGRAM BUDGET &amp; FISCAL REPORT'!$G$8</f>
        <v>Peer Counseling</v>
      </c>
      <c r="C37" s="146" t="s">
        <v>186</v>
      </c>
      <c r="D37" s="146" t="s">
        <v>193</v>
      </c>
      <c r="E37" s="149" t="s">
        <v>221</v>
      </c>
      <c r="F37" s="213" t="s">
        <v>223</v>
      </c>
      <c r="G37" s="256"/>
      <c r="H37" s="257"/>
      <c r="I37" s="257"/>
      <c r="J37" s="256"/>
      <c r="K37" s="257"/>
      <c r="L37" s="257"/>
    </row>
    <row r="38" spans="1:13" s="149" customFormat="1" ht="14.25" x14ac:dyDescent="0.2">
      <c r="A38" s="146" t="str">
        <f>'PROGRAM BUDGET &amp; FISCAL REPORT'!$G$7</f>
        <v>WISE &amp; Healthy Aging</v>
      </c>
      <c r="B38" s="146" t="str">
        <f>'PROGRAM BUDGET &amp; FISCAL REPORT'!$G$8</f>
        <v>Peer Counseling</v>
      </c>
      <c r="C38" s="146" t="s">
        <v>186</v>
      </c>
      <c r="D38" s="146" t="s">
        <v>193</v>
      </c>
      <c r="E38" s="149" t="s">
        <v>221</v>
      </c>
      <c r="F38" s="213" t="s">
        <v>224</v>
      </c>
      <c r="G38" s="256"/>
      <c r="H38" s="257"/>
      <c r="I38" s="257"/>
      <c r="J38" s="256"/>
      <c r="K38" s="257"/>
      <c r="L38" s="257"/>
    </row>
    <row r="39" spans="1:13" s="149" customFormat="1" ht="14.25" x14ac:dyDescent="0.2">
      <c r="A39" s="146" t="str">
        <f>'PROGRAM BUDGET &amp; FISCAL REPORT'!$G$7</f>
        <v>WISE &amp; Healthy Aging</v>
      </c>
      <c r="B39" s="146" t="str">
        <f>'PROGRAM BUDGET &amp; FISCAL REPORT'!$G$8</f>
        <v>Peer Counseling</v>
      </c>
      <c r="C39" s="146" t="s">
        <v>186</v>
      </c>
      <c r="D39" s="146" t="s">
        <v>193</v>
      </c>
      <c r="E39" s="149" t="s">
        <v>221</v>
      </c>
      <c r="F39" s="212" t="s">
        <v>225</v>
      </c>
      <c r="G39" s="256"/>
      <c r="H39" s="257"/>
      <c r="I39" s="257"/>
      <c r="J39" s="256"/>
      <c r="K39" s="257"/>
      <c r="L39" s="257"/>
    </row>
    <row r="40" spans="1:13" s="149" customFormat="1" ht="14.25" x14ac:dyDescent="0.2">
      <c r="A40" s="146" t="str">
        <f>'PROGRAM BUDGET &amp; FISCAL REPORT'!$G$7</f>
        <v>WISE &amp; Healthy Aging</v>
      </c>
      <c r="B40" s="146" t="str">
        <f>'PROGRAM BUDGET &amp; FISCAL REPORT'!$G$8</f>
        <v>Peer Counseling</v>
      </c>
      <c r="C40" s="146" t="s">
        <v>186</v>
      </c>
      <c r="D40" s="146" t="s">
        <v>193</v>
      </c>
      <c r="E40" s="149" t="s">
        <v>221</v>
      </c>
      <c r="F40" s="212" t="s">
        <v>226</v>
      </c>
      <c r="G40" s="256"/>
      <c r="H40" s="257"/>
      <c r="I40" s="257"/>
      <c r="J40" s="256"/>
      <c r="K40" s="257"/>
      <c r="L40" s="257"/>
    </row>
    <row r="41" spans="1:13" s="149" customFormat="1" ht="14.25" x14ac:dyDescent="0.2">
      <c r="A41" s="146" t="str">
        <f>'PROGRAM BUDGET &amp; FISCAL REPORT'!$G$7</f>
        <v>WISE &amp; Healthy Aging</v>
      </c>
      <c r="B41" s="146" t="str">
        <f>'PROGRAM BUDGET &amp; FISCAL REPORT'!$G$8</f>
        <v>Peer Counseling</v>
      </c>
      <c r="C41" s="146" t="s">
        <v>186</v>
      </c>
      <c r="D41" s="146" t="s">
        <v>193</v>
      </c>
      <c r="E41" s="149" t="s">
        <v>221</v>
      </c>
      <c r="F41" s="212" t="s">
        <v>227</v>
      </c>
      <c r="G41" s="256"/>
      <c r="H41" s="257"/>
      <c r="I41" s="257"/>
      <c r="J41" s="256"/>
      <c r="K41" s="257"/>
      <c r="L41" s="257"/>
    </row>
    <row r="42" spans="1:13" s="149" customFormat="1" ht="14.25" x14ac:dyDescent="0.2">
      <c r="A42" s="146" t="str">
        <f>'PROGRAM BUDGET &amp; FISCAL REPORT'!$G$7</f>
        <v>WISE &amp; Healthy Aging</v>
      </c>
      <c r="B42" s="146" t="str">
        <f>'PROGRAM BUDGET &amp; FISCAL REPORT'!$G$8</f>
        <v>Peer Counseling</v>
      </c>
      <c r="C42" s="146" t="s">
        <v>186</v>
      </c>
      <c r="D42" s="146" t="s">
        <v>193</v>
      </c>
      <c r="E42" s="149" t="s">
        <v>221</v>
      </c>
      <c r="F42" s="212" t="s">
        <v>228</v>
      </c>
      <c r="G42" s="256"/>
      <c r="H42" s="257">
        <v>1</v>
      </c>
      <c r="I42" s="257"/>
      <c r="J42" s="256"/>
      <c r="K42" s="257">
        <v>1</v>
      </c>
      <c r="L42" s="257"/>
    </row>
    <row r="43" spans="1:13" s="149" customFormat="1" ht="14.25" x14ac:dyDescent="0.2">
      <c r="A43" s="146" t="str">
        <f>'PROGRAM BUDGET &amp; FISCAL REPORT'!$G$7</f>
        <v>WISE &amp; Healthy Aging</v>
      </c>
      <c r="B43" s="146" t="str">
        <f>'PROGRAM BUDGET &amp; FISCAL REPORT'!$G$8</f>
        <v>Peer Counseling</v>
      </c>
      <c r="C43" s="146" t="s">
        <v>186</v>
      </c>
      <c r="D43" s="146" t="s">
        <v>193</v>
      </c>
      <c r="E43" s="149" t="s">
        <v>221</v>
      </c>
      <c r="F43" s="212" t="s">
        <v>229</v>
      </c>
      <c r="G43" s="257">
        <v>3</v>
      </c>
      <c r="H43" s="257">
        <v>4</v>
      </c>
      <c r="I43" s="257"/>
      <c r="J43" s="257">
        <v>3</v>
      </c>
      <c r="K43" s="257">
        <v>4</v>
      </c>
      <c r="L43" s="257"/>
    </row>
    <row r="44" spans="1:13" s="149" customFormat="1" ht="14.25" x14ac:dyDescent="0.2">
      <c r="A44" s="146" t="str">
        <f>'PROGRAM BUDGET &amp; FISCAL REPORT'!$G$7</f>
        <v>WISE &amp; Healthy Aging</v>
      </c>
      <c r="B44" s="146" t="str">
        <f>'PROGRAM BUDGET &amp; FISCAL REPORT'!$G$8</f>
        <v>Peer Counseling</v>
      </c>
      <c r="C44" s="146" t="s">
        <v>186</v>
      </c>
      <c r="D44" s="146" t="s">
        <v>193</v>
      </c>
      <c r="E44" s="149" t="s">
        <v>221</v>
      </c>
      <c r="F44" s="212" t="s">
        <v>230</v>
      </c>
      <c r="G44" s="257">
        <v>9</v>
      </c>
      <c r="H44" s="257">
        <v>14</v>
      </c>
      <c r="I44" s="257"/>
      <c r="J44" s="257">
        <v>9</v>
      </c>
      <c r="K44" s="257">
        <v>15</v>
      </c>
      <c r="L44" s="257"/>
    </row>
    <row r="45" spans="1:13" s="149" customFormat="1" ht="14.25" x14ac:dyDescent="0.2">
      <c r="A45" s="146" t="str">
        <f>'PROGRAM BUDGET &amp; FISCAL REPORT'!$G$7</f>
        <v>WISE &amp; Healthy Aging</v>
      </c>
      <c r="B45" s="146" t="str">
        <f>'PROGRAM BUDGET &amp; FISCAL REPORT'!$G$8</f>
        <v>Peer Counseling</v>
      </c>
      <c r="C45" s="146" t="s">
        <v>186</v>
      </c>
      <c r="D45" s="146" t="s">
        <v>193</v>
      </c>
      <c r="E45" s="149" t="s">
        <v>221</v>
      </c>
      <c r="F45" s="212" t="s">
        <v>231</v>
      </c>
      <c r="G45" s="257">
        <v>4</v>
      </c>
      <c r="H45" s="257">
        <v>22</v>
      </c>
      <c r="I45" s="257"/>
      <c r="J45" s="257">
        <v>4</v>
      </c>
      <c r="K45" s="257">
        <v>22</v>
      </c>
      <c r="L45" s="257"/>
    </row>
    <row r="46" spans="1:13" s="149" customFormat="1" ht="14.25" x14ac:dyDescent="0.2">
      <c r="A46" s="146" t="str">
        <f>'PROGRAM BUDGET &amp; FISCAL REPORT'!$G$7</f>
        <v>WISE &amp; Healthy Aging</v>
      </c>
      <c r="B46" s="146" t="str">
        <f>'PROGRAM BUDGET &amp; FISCAL REPORT'!$G$8</f>
        <v>Peer Counseling</v>
      </c>
      <c r="C46" s="146" t="s">
        <v>186</v>
      </c>
      <c r="D46" s="146" t="s">
        <v>193</v>
      </c>
      <c r="E46" s="149" t="s">
        <v>221</v>
      </c>
      <c r="F46" s="212" t="s">
        <v>232</v>
      </c>
      <c r="G46" s="257">
        <v>3</v>
      </c>
      <c r="H46" s="257">
        <v>7</v>
      </c>
      <c r="I46" s="257"/>
      <c r="J46" s="257">
        <v>3</v>
      </c>
      <c r="K46" s="257">
        <v>8</v>
      </c>
      <c r="L46" s="257"/>
    </row>
    <row r="47" spans="1:13" ht="15" x14ac:dyDescent="0.2">
      <c r="E47" s="136"/>
      <c r="F47" s="214" t="s">
        <v>213</v>
      </c>
      <c r="G47" s="250">
        <f t="shared" ref="G47:L47" si="0">SUM(G36:G46)</f>
        <v>19</v>
      </c>
      <c r="H47" s="250">
        <f t="shared" si="0"/>
        <v>48</v>
      </c>
      <c r="I47" s="250">
        <f t="shared" si="0"/>
        <v>0</v>
      </c>
      <c r="J47" s="250">
        <f t="shared" si="0"/>
        <v>19</v>
      </c>
      <c r="K47" s="250">
        <f t="shared" si="0"/>
        <v>50</v>
      </c>
      <c r="L47" s="250">
        <f t="shared" si="0"/>
        <v>0</v>
      </c>
      <c r="M47" s="136"/>
    </row>
    <row r="48" spans="1:13" x14ac:dyDescent="0.2">
      <c r="E48" s="136"/>
      <c r="F48" s="140"/>
      <c r="G48" s="142"/>
      <c r="H48" s="60"/>
      <c r="I48" s="142"/>
      <c r="J48" s="142"/>
    </row>
    <row r="49" spans="1:8" s="262" customFormat="1" ht="30" x14ac:dyDescent="0.2">
      <c r="A49" s="258"/>
      <c r="B49" s="258"/>
      <c r="C49" s="258"/>
      <c r="D49" s="259"/>
      <c r="E49" s="260"/>
      <c r="F49" s="251" t="s">
        <v>233</v>
      </c>
      <c r="G49" s="246" t="s">
        <v>190</v>
      </c>
      <c r="H49" s="261" t="s">
        <v>234</v>
      </c>
    </row>
    <row r="50" spans="1:8" s="262" customFormat="1" ht="14.25" x14ac:dyDescent="0.2">
      <c r="A50" s="258"/>
      <c r="B50" s="258"/>
      <c r="C50" s="258"/>
      <c r="D50" s="258"/>
      <c r="F50" s="258"/>
      <c r="G50" s="247">
        <f>IFERROR('PROGRAM BUDGET &amp; FISCAL REPORT'!L18/'PARTICIPANTS &amp; DEMOGRAPHICS'!G6,"N/A")</f>
        <v>2353.1999999999998</v>
      </c>
      <c r="H50" s="248">
        <f>IFERROR('PROGRAM BUDGET &amp; FISCAL REPORT'!S18/'PARTICIPANTS &amp; DEMOGRAPHICS'!I6, "N/A")</f>
        <v>2408.0947999999999</v>
      </c>
    </row>
  </sheetData>
  <sheetProtection algorithmName="SHA-512" hashValue="DRpVujZFgEw2EdM/EKU67mjm7Pn1B+yHvAkWkZZDVISn5476NRThQHApx4plQKjwW4sPCr0RqNkopy1HAN6G8A==" saltValue="otCpUOqfE+eeo161BLvA5A=="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2"/>
  <sheetViews>
    <sheetView topLeftCell="B2" zoomScaleNormal="100" zoomScaleSheetLayoutView="100" workbookViewId="0">
      <selection activeCell="F2" sqref="F2"/>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8" style="145" customWidth="1"/>
    <col min="7" max="7" width="31.42578125" style="145" customWidth="1"/>
    <col min="8" max="16384" width="11.42578125" style="143"/>
  </cols>
  <sheetData>
    <row r="1" spans="1:7" ht="18" x14ac:dyDescent="0.25">
      <c r="A1" s="57"/>
      <c r="B1" s="90" t="s">
        <v>50</v>
      </c>
      <c r="C1" s="155"/>
      <c r="D1" s="155"/>
      <c r="E1" s="155"/>
      <c r="F1" s="155"/>
      <c r="G1" s="143"/>
    </row>
    <row r="2" spans="1:7" ht="18" x14ac:dyDescent="0.25">
      <c r="A2" s="57"/>
      <c r="B2" s="90" t="s">
        <v>235</v>
      </c>
      <c r="C2" s="156"/>
      <c r="D2" s="156"/>
      <c r="E2" s="156"/>
      <c r="F2" s="156"/>
      <c r="G2" s="143"/>
    </row>
    <row r="3" spans="1:7" ht="22.5" customHeight="1" x14ac:dyDescent="0.25">
      <c r="A3" s="57"/>
      <c r="B3" s="104" t="str">
        <f>'PROGRAM BUDGET &amp; FISCAL REPORT'!F7</f>
        <v>AGENCY NAME:</v>
      </c>
      <c r="C3" s="129" t="str">
        <f>'PROGRAM BUDGET &amp; FISCAL REPORT'!G7</f>
        <v>WISE &amp; Healthy Aging</v>
      </c>
      <c r="D3" s="157"/>
      <c r="E3" s="157"/>
      <c r="F3" s="156"/>
      <c r="G3" s="143"/>
    </row>
    <row r="4" spans="1:7" ht="22.5" customHeight="1" x14ac:dyDescent="0.25">
      <c r="A4" s="57"/>
      <c r="B4" s="104" t="str">
        <f>'PROGRAM BUDGET &amp; FISCAL REPORT'!F8</f>
        <v>PROGRAM NAME:</v>
      </c>
      <c r="C4" s="129" t="str">
        <f>'PROGRAM BUDGET &amp; FISCAL REPORT'!G8</f>
        <v>Peer Counseling</v>
      </c>
      <c r="D4" s="157"/>
      <c r="E4" s="157"/>
      <c r="F4" s="156"/>
      <c r="G4" s="143"/>
    </row>
    <row r="5" spans="1:7" ht="8.25" customHeight="1" thickBot="1" x14ac:dyDescent="0.25">
      <c r="A5" s="57"/>
      <c r="B5" s="91"/>
      <c r="C5" s="156"/>
      <c r="D5" s="156"/>
      <c r="E5" s="156"/>
      <c r="F5" s="156"/>
      <c r="G5" s="143"/>
    </row>
    <row r="6" spans="1:7" ht="52.5" customHeight="1" x14ac:dyDescent="0.55000000000000004">
      <c r="B6" s="158" t="s">
        <v>236</v>
      </c>
      <c r="C6" s="159" t="s">
        <v>237</v>
      </c>
      <c r="D6" s="159"/>
      <c r="E6" s="159" t="s">
        <v>238</v>
      </c>
      <c r="F6" s="160"/>
      <c r="G6" s="143"/>
    </row>
    <row r="7" spans="1:7" ht="14.25" x14ac:dyDescent="0.2">
      <c r="B7" s="161" t="s">
        <v>239</v>
      </c>
      <c r="C7" s="162">
        <f>'PARTICIPANTS &amp; DEMOGRAPHICS'!G6</f>
        <v>135</v>
      </c>
      <c r="D7" s="163"/>
      <c r="E7" s="163">
        <f>'PARTICIPANTS &amp; DEMOGRAPHICS'!I6</f>
        <v>125</v>
      </c>
      <c r="F7" s="164"/>
      <c r="G7" s="143"/>
    </row>
    <row r="8" spans="1:7" ht="14.25" x14ac:dyDescent="0.2">
      <c r="B8" s="165" t="s">
        <v>240</v>
      </c>
      <c r="C8" s="162">
        <f>'PARTICIPANTS &amp; DEMOGRAPHICS'!G7</f>
        <v>75</v>
      </c>
      <c r="D8" s="163"/>
      <c r="E8" s="163">
        <f>'PARTICIPANTS &amp; DEMOGRAPHICS'!I7</f>
        <v>69</v>
      </c>
      <c r="F8" s="164"/>
      <c r="G8" s="143"/>
    </row>
    <row r="9" spans="1:7" ht="14.25" x14ac:dyDescent="0.2">
      <c r="B9" s="161" t="s">
        <v>241</v>
      </c>
      <c r="C9" s="210">
        <f>IFERROR(C8/C7, "N/A")</f>
        <v>0.55555555555555558</v>
      </c>
      <c r="D9" s="167"/>
      <c r="E9" s="167">
        <f>IFERROR(E8/E7, "N/A")</f>
        <v>0.55200000000000005</v>
      </c>
      <c r="F9" s="164"/>
      <c r="G9" s="143"/>
    </row>
    <row r="10" spans="1:7" ht="14.25" x14ac:dyDescent="0.2">
      <c r="B10" s="161"/>
      <c r="C10" s="166"/>
      <c r="D10" s="167"/>
      <c r="E10" s="162"/>
      <c r="F10" s="164"/>
      <c r="G10" s="143"/>
    </row>
    <row r="11" spans="1:7" ht="63.75" customHeight="1" x14ac:dyDescent="0.55000000000000004">
      <c r="B11" s="168" t="s">
        <v>242</v>
      </c>
      <c r="C11" s="293" t="s">
        <v>243</v>
      </c>
      <c r="D11" s="293" t="s">
        <v>244</v>
      </c>
      <c r="E11" s="293" t="s">
        <v>245</v>
      </c>
      <c r="F11" s="294" t="s">
        <v>246</v>
      </c>
      <c r="G11" s="143"/>
    </row>
    <row r="12" spans="1:7" ht="16.5" customHeight="1" x14ac:dyDescent="0.2">
      <c r="B12" s="161" t="s">
        <v>247</v>
      </c>
      <c r="C12" s="169">
        <f>'PROGRAM BUDGET &amp; FISCAL REPORT'!L18</f>
        <v>317682</v>
      </c>
      <c r="D12" s="169">
        <f>'PROGRAM BUDGET &amp; FISCAL REPORT'!M18</f>
        <v>116087</v>
      </c>
      <c r="E12" s="169">
        <f>'PROGRAM BUDGET &amp; FISCAL REPORT'!S18</f>
        <v>301011.84999999998</v>
      </c>
      <c r="F12" s="170">
        <f>'PROGRAM BUDGET &amp; FISCAL REPORT'!Q18</f>
        <v>116087</v>
      </c>
      <c r="G12" s="143"/>
    </row>
    <row r="13" spans="1:7" ht="16.5" customHeight="1" x14ac:dyDescent="0.35">
      <c r="B13" s="285" t="s">
        <v>248</v>
      </c>
      <c r="C13" s="286">
        <v>-13933</v>
      </c>
      <c r="D13" s="286">
        <v>-13933</v>
      </c>
      <c r="E13" s="286">
        <v>-13933</v>
      </c>
      <c r="F13" s="287">
        <v>-13933</v>
      </c>
      <c r="G13" s="143"/>
    </row>
    <row r="14" spans="1:7" ht="16.5" customHeight="1" x14ac:dyDescent="0.35">
      <c r="B14" s="285" t="s">
        <v>249</v>
      </c>
      <c r="C14" s="286">
        <f>SUM(C12:C13)</f>
        <v>303749</v>
      </c>
      <c r="D14" s="286">
        <f>SUM(D12:D13)</f>
        <v>102154</v>
      </c>
      <c r="E14" s="286">
        <f>SUM(E12:E13)</f>
        <v>287078.84999999998</v>
      </c>
      <c r="F14" s="287">
        <f>SUM(F12:F13)</f>
        <v>102154</v>
      </c>
      <c r="G14" s="143"/>
    </row>
    <row r="15" spans="1:7" ht="16.5" customHeight="1" x14ac:dyDescent="0.2">
      <c r="B15" s="161"/>
      <c r="C15" s="169"/>
      <c r="D15" s="169"/>
      <c r="E15" s="169"/>
      <c r="F15" s="170"/>
      <c r="G15" s="143"/>
    </row>
    <row r="16" spans="1:7" ht="19.5" x14ac:dyDescent="0.55000000000000004">
      <c r="B16" s="168" t="s">
        <v>250</v>
      </c>
      <c r="C16" s="301" t="s">
        <v>251</v>
      </c>
      <c r="D16" s="301"/>
      <c r="E16" s="301" t="s">
        <v>252</v>
      </c>
      <c r="F16" s="302"/>
      <c r="G16" s="143"/>
    </row>
    <row r="17" spans="2:8" ht="14.25" x14ac:dyDescent="0.2">
      <c r="B17" s="161" t="s">
        <v>253</v>
      </c>
      <c r="C17" s="95">
        <f>IFERROR(C14*C9,"N/A")</f>
        <v>168749.44444444444</v>
      </c>
      <c r="D17" s="171">
        <f>IFERROR(C17/C12,"N/A")</f>
        <v>0.53118982014859017</v>
      </c>
      <c r="E17" s="172">
        <f>IFERROR(E14*E9,"N/A")</f>
        <v>158467.5252</v>
      </c>
      <c r="F17" s="173">
        <f>IFERROR(E17/E12,"N/A")</f>
        <v>0.52644945772068452</v>
      </c>
      <c r="G17" s="143"/>
    </row>
    <row r="18" spans="2:8" ht="14.25" x14ac:dyDescent="0.2">
      <c r="B18" s="161" t="s">
        <v>254</v>
      </c>
      <c r="C18" s="95">
        <f>D14</f>
        <v>102154</v>
      </c>
      <c r="D18" s="171">
        <f>IFERROR(C18/C17, "N/A")</f>
        <v>0.60535902998857616</v>
      </c>
      <c r="E18" s="172">
        <f>F14</f>
        <v>102154</v>
      </c>
      <c r="F18" s="173">
        <f>IFERROR(E18/E17, "N/A")</f>
        <v>0.6446368104195016</v>
      </c>
      <c r="G18" s="143"/>
      <c r="H18" s="144"/>
    </row>
    <row r="19" spans="2:8" ht="15" thickBot="1" x14ac:dyDescent="0.25">
      <c r="B19" s="288"/>
      <c r="C19" s="289"/>
      <c r="D19" s="290"/>
      <c r="E19" s="291"/>
      <c r="F19" s="292"/>
      <c r="G19" s="143"/>
    </row>
    <row r="20" spans="2:8" ht="15.75" thickBot="1" x14ac:dyDescent="0.3">
      <c r="B20" s="174" t="s">
        <v>255</v>
      </c>
      <c r="C20" s="130">
        <f>IFERROR(C17-C18,"N/A")</f>
        <v>66595.444444444438</v>
      </c>
      <c r="D20" s="175">
        <f>IFERROR(C20/C17, "N/A")</f>
        <v>0.3946409700114239</v>
      </c>
      <c r="E20" s="130">
        <f>IFERROR(E17-E18, "N/A")</f>
        <v>56313.525200000004</v>
      </c>
      <c r="F20" s="176">
        <f>IFERROR(E20/E17, "N/A")</f>
        <v>0.35536318958049834</v>
      </c>
      <c r="G20" s="143"/>
    </row>
    <row r="21" spans="2:8" ht="45.75" thickBot="1" x14ac:dyDescent="0.3">
      <c r="B21" s="161"/>
      <c r="C21" s="177"/>
      <c r="D21" s="178" t="s">
        <v>256</v>
      </c>
      <c r="E21" s="163"/>
      <c r="F21" s="178" t="s">
        <v>256</v>
      </c>
    </row>
    <row r="22" spans="2:8" s="116" customFormat="1" ht="12.75" x14ac:dyDescent="0.2">
      <c r="B22" s="179"/>
      <c r="C22" s="128"/>
      <c r="D22" s="128"/>
      <c r="E22" s="128"/>
      <c r="F22" s="128"/>
      <c r="G22" s="145"/>
    </row>
  </sheetData>
  <sheetProtection algorithmName="SHA-512" hashValue="rOxUUhyqX0ydxfNgSgd68Eyu0+E4OrDq048cgT1tWMOQwCX+hnb64COojSZUseTXBFFyulKCucZMlhI2LeM0HQ==" saltValue="HVfmEp0MjoJ8rWyn5TCebg==" spinCount="100000" sheet="1" objects="1" scenarios="1"/>
  <mergeCells count="2">
    <mergeCell ref="C16:D16"/>
    <mergeCell ref="E16:F16"/>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51099165-482E-456D-8525-BA70AF3C2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