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212" documentId="8_{9C4C995C-C761-4FAF-B4E3-863203951CF7}" xr6:coauthVersionLast="46" xr6:coauthVersionMax="47" xr10:uidLastSave="{AF846E63-CF6F-4146-A3B4-869FE60772E7}"/>
  <workbookProtection workbookAlgorithmName="SHA-512" workbookHashValue="xyjhUQcEPXpOBcDzCTbQ96V+ufbHMFFt/tj0sGrDPaytrrsJJ8t2DoVIfCJVHx+wR8gsnhylXEFXEISNjN6c2w==" workbookSaltValue="slOiBhJGbdr/pKwMJXTzVQ=="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SOURCES'!$A$1:$E$36</definedName>
    <definedName name="_xlnm.Print_Area" localSheetId="1">'PROGRAM BUDGET &amp; FISCAL REPORT'!$A$1:$N$161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0" i="19" l="1"/>
  <c r="J60" i="19"/>
  <c r="H60" i="19"/>
  <c r="G60" i="19"/>
  <c r="K45" i="19"/>
  <c r="J45" i="19"/>
  <c r="H45" i="19"/>
  <c r="G45" i="19"/>
  <c r="J31" i="19"/>
  <c r="H31" i="19"/>
  <c r="G31" i="19"/>
  <c r="F58" i="19"/>
  <c r="F57" i="19"/>
  <c r="F56" i="19"/>
  <c r="F55" i="19"/>
  <c r="F54" i="19"/>
  <c r="F53" i="19"/>
  <c r="F52" i="19"/>
  <c r="F51" i="19"/>
  <c r="F50" i="19"/>
  <c r="F49" i="19"/>
  <c r="F48" i="19"/>
  <c r="F47" i="19"/>
  <c r="F46" i="19"/>
  <c r="F44" i="19"/>
  <c r="F43" i="19"/>
  <c r="F42" i="19"/>
  <c r="F41" i="19"/>
  <c r="F40" i="19"/>
  <c r="F39" i="19"/>
  <c r="F38" i="19"/>
  <c r="F37" i="19"/>
  <c r="F36" i="19"/>
  <c r="F35" i="19"/>
  <c r="F34" i="19"/>
  <c r="F33" i="19"/>
  <c r="F32" i="19"/>
  <c r="F30" i="19"/>
  <c r="F29" i="19"/>
  <c r="F28" i="19"/>
  <c r="F27" i="19"/>
  <c r="L59" i="19"/>
  <c r="M59" i="19" s="1"/>
  <c r="I59" i="19"/>
  <c r="L61" i="19"/>
  <c r="M61" i="19" s="1"/>
  <c r="I61" i="19"/>
  <c r="L62" i="19"/>
  <c r="M62" i="19" s="1"/>
  <c r="I62" i="19"/>
  <c r="J63" i="19" l="1"/>
  <c r="H63" i="19"/>
  <c r="E60" i="19"/>
  <c r="G63" i="19"/>
  <c r="E45" i="19"/>
  <c r="E31" i="19"/>
  <c r="E63" i="19" l="1"/>
  <c r="K132" i="19" l="1"/>
  <c r="I34" i="19"/>
  <c r="I36" i="19"/>
  <c r="I37" i="19"/>
  <c r="L36" i="19" l="1"/>
  <c r="M36" i="19" s="1"/>
  <c r="L37" i="19"/>
  <c r="M37" i="19" s="1"/>
  <c r="L34" i="19"/>
  <c r="M34" i="19" s="1"/>
  <c r="N59" i="19" l="1"/>
  <c r="N46" i="19"/>
  <c r="N60" i="19" s="1"/>
  <c r="N34" i="19"/>
  <c r="N33" i="19"/>
  <c r="N32" i="19"/>
  <c r="N29" i="19"/>
  <c r="N28" i="19"/>
  <c r="K73" i="19"/>
  <c r="K72" i="19"/>
  <c r="K70" i="19"/>
  <c r="K69" i="19"/>
  <c r="K68" i="19"/>
  <c r="K29" i="19"/>
  <c r="K31" i="19" s="1"/>
  <c r="K63" i="19" s="1"/>
  <c r="N31" i="19" l="1"/>
  <c r="N45" i="19"/>
  <c r="L29" i="19"/>
  <c r="I29" i="19"/>
  <c r="N63" i="19" l="1"/>
  <c r="M29" i="19"/>
  <c r="D23" i="26"/>
  <c r="C23" i="26"/>
  <c r="B23" i="26"/>
  <c r="K161" i="19"/>
  <c r="J161" i="19"/>
  <c r="I161" i="19" l="1"/>
  <c r="L35" i="19"/>
  <c r="M35" i="19" s="1"/>
  <c r="L38" i="19"/>
  <c r="M38" i="19" s="1"/>
  <c r="L39" i="19"/>
  <c r="M39" i="19" s="1"/>
  <c r="L40" i="19"/>
  <c r="M40" i="19" s="1"/>
  <c r="L41" i="19"/>
  <c r="M41" i="19" s="1"/>
  <c r="L42" i="19"/>
  <c r="M42" i="19" s="1"/>
  <c r="L43" i="19"/>
  <c r="M43" i="19" s="1"/>
  <c r="L44" i="19"/>
  <c r="M44" i="19" s="1"/>
  <c r="L48" i="19"/>
  <c r="M48" i="19" s="1"/>
  <c r="L49" i="19"/>
  <c r="M49" i="19" s="1"/>
  <c r="I49" i="19"/>
  <c r="I48" i="19"/>
  <c r="I44" i="19"/>
  <c r="I43" i="19"/>
  <c r="I42" i="19"/>
  <c r="I41" i="19"/>
  <c r="I40" i="19"/>
  <c r="I39" i="19"/>
  <c r="I38" i="19"/>
  <c r="I35" i="19"/>
  <c r="C4" i="14" l="1"/>
  <c r="C3" i="14"/>
  <c r="N113" i="19"/>
  <c r="I132" i="19"/>
  <c r="I47" i="26" l="1"/>
  <c r="E47" i="26"/>
  <c r="L52" i="19" l="1"/>
  <c r="M52" i="19" s="1"/>
  <c r="I52" i="19"/>
  <c r="C34" i="30" l="1"/>
  <c r="D34" i="30"/>
  <c r="D13" i="19" l="1"/>
  <c r="D12" i="19"/>
  <c r="D11" i="19"/>
  <c r="D10" i="19"/>
  <c r="D9" i="19"/>
  <c r="L160" i="19" l="1"/>
  <c r="L159" i="19"/>
  <c r="L157" i="19"/>
  <c r="L156" i="19"/>
  <c r="L154" i="19"/>
  <c r="L153" i="19"/>
  <c r="L151" i="19"/>
  <c r="L150" i="19"/>
  <c r="L148" i="19"/>
  <c r="L147" i="19"/>
  <c r="L145" i="19"/>
  <c r="L144" i="19"/>
  <c r="D8" i="19"/>
  <c r="D7" i="19"/>
  <c r="D6" i="19"/>
  <c r="L161" i="19" l="1"/>
  <c r="H47" i="26"/>
  <c r="G47" i="26"/>
  <c r="F47" i="26"/>
  <c r="C8" i="14"/>
  <c r="C7" i="14"/>
  <c r="N134" i="19"/>
  <c r="K134" i="19"/>
  <c r="J134" i="19"/>
  <c r="F133" i="19"/>
  <c r="H134" i="19"/>
  <c r="G134" i="19"/>
  <c r="L133" i="19"/>
  <c r="M133" i="19" s="1"/>
  <c r="I133" i="19"/>
  <c r="I134" i="19" s="1"/>
  <c r="I12" i="19" s="1"/>
  <c r="H76" i="19"/>
  <c r="H7" i="19" s="1"/>
  <c r="G76" i="19"/>
  <c r="G7" i="19" s="1"/>
  <c r="H6" i="19"/>
  <c r="G6" i="19"/>
  <c r="E7" i="14"/>
  <c r="I124" i="19"/>
  <c r="I123" i="19"/>
  <c r="I122" i="19"/>
  <c r="I121" i="19"/>
  <c r="I120" i="19"/>
  <c r="I119" i="19"/>
  <c r="I118" i="19"/>
  <c r="I112" i="19"/>
  <c r="I111" i="19"/>
  <c r="I110" i="19"/>
  <c r="I104" i="19"/>
  <c r="I103" i="19"/>
  <c r="I102" i="19"/>
  <c r="I101" i="19"/>
  <c r="I100" i="19"/>
  <c r="I99" i="19"/>
  <c r="I98" i="19"/>
  <c r="I97" i="19"/>
  <c r="I96" i="19"/>
  <c r="I95" i="19"/>
  <c r="I94" i="19"/>
  <c r="I93" i="19"/>
  <c r="I92" i="19"/>
  <c r="I91" i="19"/>
  <c r="I90" i="19"/>
  <c r="I89" i="19"/>
  <c r="L124" i="19"/>
  <c r="M124" i="19" s="1"/>
  <c r="L123" i="19"/>
  <c r="M123" i="19" s="1"/>
  <c r="L122" i="19"/>
  <c r="M122" i="19" s="1"/>
  <c r="L121" i="19"/>
  <c r="M121" i="19" s="1"/>
  <c r="L120" i="19"/>
  <c r="M120" i="19" s="1"/>
  <c r="L119" i="19"/>
  <c r="M119" i="19" s="1"/>
  <c r="L112" i="19"/>
  <c r="M112" i="19" s="1"/>
  <c r="L111" i="19"/>
  <c r="M111" i="19" s="1"/>
  <c r="L101" i="19"/>
  <c r="M101" i="19" s="1"/>
  <c r="L100" i="19"/>
  <c r="M100" i="19" s="1"/>
  <c r="L99" i="19"/>
  <c r="M99" i="19" s="1"/>
  <c r="L98" i="19"/>
  <c r="M98" i="19" s="1"/>
  <c r="L97" i="19"/>
  <c r="M97" i="19" s="1"/>
  <c r="L96" i="19"/>
  <c r="M96" i="19" s="1"/>
  <c r="L95" i="19"/>
  <c r="M95" i="19" s="1"/>
  <c r="L94" i="19"/>
  <c r="M94" i="19" s="1"/>
  <c r="L93" i="19"/>
  <c r="M93" i="19" s="1"/>
  <c r="L92" i="19"/>
  <c r="M92" i="19" s="1"/>
  <c r="L91" i="19"/>
  <c r="M91" i="19" s="1"/>
  <c r="I82" i="19"/>
  <c r="L82" i="19"/>
  <c r="M82" i="19" s="1"/>
  <c r="I83" i="19"/>
  <c r="L83" i="19"/>
  <c r="M83" i="19" s="1"/>
  <c r="I69" i="19"/>
  <c r="L69" i="19"/>
  <c r="I70" i="19"/>
  <c r="L70" i="19"/>
  <c r="M70" i="19" s="1"/>
  <c r="I71" i="19"/>
  <c r="L71" i="19"/>
  <c r="M71" i="19" s="1"/>
  <c r="I72" i="19"/>
  <c r="L72" i="19"/>
  <c r="M72" i="19" s="1"/>
  <c r="I73" i="19"/>
  <c r="L73" i="19"/>
  <c r="M73" i="19" s="1"/>
  <c r="I74" i="19"/>
  <c r="L74" i="19"/>
  <c r="M74" i="19" s="1"/>
  <c r="I75" i="19"/>
  <c r="L75" i="19"/>
  <c r="M75" i="19" s="1"/>
  <c r="I27" i="19"/>
  <c r="E8" i="14"/>
  <c r="I58" i="19"/>
  <c r="I57" i="19"/>
  <c r="I56" i="19"/>
  <c r="I55" i="19"/>
  <c r="I54" i="19"/>
  <c r="I53" i="19"/>
  <c r="I51" i="19"/>
  <c r="I50" i="19"/>
  <c r="I30" i="19"/>
  <c r="I47" i="19"/>
  <c r="I46" i="19"/>
  <c r="I33" i="19"/>
  <c r="I32" i="19"/>
  <c r="I28" i="19"/>
  <c r="I68" i="19"/>
  <c r="G105" i="19"/>
  <c r="G9" i="19" s="1"/>
  <c r="L104" i="19"/>
  <c r="M104" i="19" s="1"/>
  <c r="L103" i="19"/>
  <c r="M103" i="19" s="1"/>
  <c r="L102" i="19"/>
  <c r="M102" i="19" s="1"/>
  <c r="L58" i="19"/>
  <c r="M58" i="19" s="1"/>
  <c r="L57" i="19"/>
  <c r="M57" i="19" s="1"/>
  <c r="L56" i="19"/>
  <c r="M56" i="19" s="1"/>
  <c r="L55" i="19"/>
  <c r="M55" i="19" s="1"/>
  <c r="L54" i="19"/>
  <c r="M54" i="19" s="1"/>
  <c r="L53" i="19"/>
  <c r="M53" i="19" s="1"/>
  <c r="L51" i="19"/>
  <c r="M51" i="19" s="1"/>
  <c r="L50" i="19"/>
  <c r="M50" i="19" s="1"/>
  <c r="L30" i="19"/>
  <c r="M30" i="19" s="1"/>
  <c r="L47" i="19"/>
  <c r="N76" i="19"/>
  <c r="N7" i="19" s="1"/>
  <c r="N84" i="19"/>
  <c r="N8" i="19" s="1"/>
  <c r="N105" i="19"/>
  <c r="N9" i="19" s="1"/>
  <c r="J113" i="19"/>
  <c r="J10" i="19" s="1"/>
  <c r="K113" i="19"/>
  <c r="K10" i="19" s="1"/>
  <c r="N125" i="19"/>
  <c r="N11" i="19" s="1"/>
  <c r="L27" i="19"/>
  <c r="L28" i="19"/>
  <c r="L32" i="19"/>
  <c r="L33" i="19"/>
  <c r="L46" i="19"/>
  <c r="L60" i="19" s="1"/>
  <c r="M60" i="19" s="1"/>
  <c r="L68" i="19"/>
  <c r="M68" i="19" s="1"/>
  <c r="J6" i="19"/>
  <c r="D47" i="26"/>
  <c r="C47" i="26"/>
  <c r="B47" i="26"/>
  <c r="D32" i="26"/>
  <c r="C32" i="26"/>
  <c r="B32" i="26"/>
  <c r="B4" i="14"/>
  <c r="B3" i="14"/>
  <c r="G84" i="19"/>
  <c r="G8" i="19" s="1"/>
  <c r="G113" i="19"/>
  <c r="G10" i="19" s="1"/>
  <c r="G125" i="19"/>
  <c r="G11" i="19" s="1"/>
  <c r="H84" i="19"/>
  <c r="H8" i="19" s="1"/>
  <c r="H105" i="19"/>
  <c r="H9" i="19" s="1"/>
  <c r="H113" i="19"/>
  <c r="H10" i="19" s="1"/>
  <c r="H125" i="19"/>
  <c r="H11" i="19" s="1"/>
  <c r="L81" i="19"/>
  <c r="M81" i="19" s="1"/>
  <c r="I81" i="19"/>
  <c r="L90" i="19"/>
  <c r="M90" i="19" s="1"/>
  <c r="L132" i="19"/>
  <c r="M132" i="19" s="1"/>
  <c r="K125" i="19"/>
  <c r="K11" i="19" s="1"/>
  <c r="J125" i="19"/>
  <c r="J11" i="19" s="1"/>
  <c r="L118" i="19"/>
  <c r="M118" i="19" s="1"/>
  <c r="L110" i="19"/>
  <c r="M110" i="19" s="1"/>
  <c r="L89" i="19"/>
  <c r="M89" i="19" s="1"/>
  <c r="K105" i="19"/>
  <c r="K9" i="19" s="1"/>
  <c r="J105" i="19"/>
  <c r="J9" i="19" s="1"/>
  <c r="K84" i="19"/>
  <c r="K8" i="19" s="1"/>
  <c r="J84" i="19"/>
  <c r="J8" i="19" s="1"/>
  <c r="K76" i="19"/>
  <c r="K7" i="19" s="1"/>
  <c r="J76" i="19"/>
  <c r="J7" i="19" s="1"/>
  <c r="K6" i="19"/>
  <c r="I60" i="19" l="1"/>
  <c r="L45" i="19"/>
  <c r="M45" i="19" s="1"/>
  <c r="I45" i="19"/>
  <c r="I31" i="19"/>
  <c r="M27" i="19"/>
  <c r="L31" i="19"/>
  <c r="M47" i="19"/>
  <c r="M33" i="19"/>
  <c r="M32" i="19"/>
  <c r="M28" i="19"/>
  <c r="M46" i="19"/>
  <c r="G136" i="19"/>
  <c r="G13" i="19" s="1"/>
  <c r="G12" i="19"/>
  <c r="H136" i="19"/>
  <c r="H13" i="19" s="1"/>
  <c r="D12" i="14" s="1"/>
  <c r="C16" i="14" s="1"/>
  <c r="H12" i="19"/>
  <c r="N12" i="19"/>
  <c r="J12" i="19"/>
  <c r="J136" i="19"/>
  <c r="J13" i="19" s="1"/>
  <c r="K12" i="19"/>
  <c r="K136" i="19"/>
  <c r="K13" i="19" s="1"/>
  <c r="E9" i="14"/>
  <c r="C9" i="14"/>
  <c r="I105" i="19"/>
  <c r="I9" i="19" s="1"/>
  <c r="I113" i="19"/>
  <c r="I10" i="19" s="1"/>
  <c r="N10" i="19"/>
  <c r="I84" i="19"/>
  <c r="I8" i="19" s="1"/>
  <c r="I76" i="19"/>
  <c r="I7" i="19" s="1"/>
  <c r="L76" i="19"/>
  <c r="M76" i="19" s="1"/>
  <c r="I125" i="19"/>
  <c r="L105" i="19"/>
  <c r="L134" i="19"/>
  <c r="L12" i="19" s="1"/>
  <c r="L84" i="19"/>
  <c r="M84" i="19" s="1"/>
  <c r="L113" i="19"/>
  <c r="L10" i="19" s="1"/>
  <c r="M10" i="19" s="1"/>
  <c r="L125" i="19"/>
  <c r="M69" i="19"/>
  <c r="I63" i="19" l="1"/>
  <c r="I6" i="19" s="1"/>
  <c r="M31" i="19"/>
  <c r="L63" i="19"/>
  <c r="L6" i="19" s="1"/>
  <c r="M6" i="19" s="1"/>
  <c r="N6" i="19"/>
  <c r="B50" i="26"/>
  <c r="C12" i="14"/>
  <c r="C15" i="14" s="1"/>
  <c r="D15" i="14" s="1"/>
  <c r="M12" i="19"/>
  <c r="F132" i="19"/>
  <c r="I11" i="19"/>
  <c r="I136" i="19"/>
  <c r="I13" i="19" s="1"/>
  <c r="M125" i="19"/>
  <c r="L136" i="19"/>
  <c r="L13" i="19" s="1"/>
  <c r="B14" i="19" s="1"/>
  <c r="L11" i="19"/>
  <c r="M11" i="19" s="1"/>
  <c r="M105" i="19"/>
  <c r="L9" i="19"/>
  <c r="M9" i="19" s="1"/>
  <c r="L7" i="19"/>
  <c r="M7" i="19" s="1"/>
  <c r="M113" i="19"/>
  <c r="L8" i="19"/>
  <c r="M8" i="19" s="1"/>
  <c r="M134" i="19"/>
  <c r="M63" i="19" l="1"/>
  <c r="N136" i="19"/>
  <c r="N13" i="19" s="1"/>
  <c r="M13" i="19"/>
  <c r="F12" i="14"/>
  <c r="M136" i="19"/>
  <c r="D16" i="14"/>
  <c r="C18" i="14"/>
  <c r="D18" i="14" s="1"/>
  <c r="C50" i="26" l="1"/>
  <c r="M161" i="19"/>
  <c r="N161" i="19" s="1"/>
  <c r="E12" i="14"/>
  <c r="E15" i="14" s="1"/>
  <c r="F15" i="14" s="1"/>
  <c r="E16" i="14"/>
  <c r="B15" i="19"/>
  <c r="E18" i="14" l="1"/>
  <c r="F18" i="14" s="1"/>
  <c r="F16" i="14"/>
</calcChain>
</file>

<file path=xl/sharedStrings.xml><?xml version="1.0" encoding="utf-8"?>
<sst xmlns="http://schemas.openxmlformats.org/spreadsheetml/2006/main" count="427" uniqueCount="285">
  <si>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</si>
  <si>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</si>
  <si>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</si>
  <si>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</si>
  <si>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</si>
  <si>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</si>
  <si>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</si>
  <si>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</si>
  <si>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</si>
  <si>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</si>
  <si>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</si>
  <si>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</si>
  <si>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</si>
  <si>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</si>
  <si>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</si>
  <si>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</si>
  <si>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</si>
  <si>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</si>
  <si>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</si>
  <si>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</si>
  <si>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</si>
  <si>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</si>
  <si>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</si>
  <si>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</si>
  <si>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</si>
  <si>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</si>
  <si>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</si>
  <si>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</si>
  <si>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</si>
  <si>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</si>
  <si>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</si>
  <si>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</si>
  <si>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</si>
  <si>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</si>
  <si>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</si>
  <si>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</si>
  <si>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</si>
  <si>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</si>
  <si>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</si>
  <si>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</si>
  <si>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</si>
  <si>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</si>
  <si>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</si>
  <si>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</si>
  <si>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</si>
  <si>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</si>
  <si>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Vista Del Mar Child &amp; Family Service/Family Services of Santa Monica</t>
  </si>
  <si>
    <t>PROGRAM NAME:</t>
  </si>
  <si>
    <t>Early Childhood Wellbeing Program</t>
  </si>
  <si>
    <t>REPORTING PERIOD:</t>
  </si>
  <si>
    <t>Mid-Year Report (1st Period): 7/1/21 - 12/31/21</t>
  </si>
  <si>
    <t>A. Total City Funds Disbursed to Date:</t>
  </si>
  <si>
    <t>B. Total City Funds Expended to Date:</t>
  </si>
  <si>
    <t>C. Cash Balance (Line A - Line B):</t>
  </si>
  <si>
    <t>FY 2021-22 Program Budget: 7/1/21-6/30/22</t>
  </si>
  <si>
    <t>Senior/Executive Management</t>
  </si>
  <si>
    <t>Federal</t>
  </si>
  <si>
    <t>Administrative Support</t>
  </si>
  <si>
    <t>State</t>
  </si>
  <si>
    <t>Year-End Report (2nd Period): 1/1/22 - 6/30/22</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</si>
  <si>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</si>
  <si>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</si>
  <si>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</si>
  <si>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</si>
  <si>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</si>
  <si>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</si>
  <si>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</si>
  <si>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</si>
  <si>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</si>
  <si>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</si>
  <si>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LEVI, TRACI</t>
  </si>
  <si>
    <t>Executive VP</t>
  </si>
  <si>
    <t>TOWLER, ANGEL</t>
  </si>
  <si>
    <t>FSSM Director</t>
  </si>
  <si>
    <t>WIJAYASINHA, CHANTILLY</t>
  </si>
  <si>
    <t>GABRIELA ALEJOS</t>
  </si>
  <si>
    <t>FAMILY RESOURCE SPECIALIST</t>
  </si>
  <si>
    <t>MCKENNA BELGARDE</t>
  </si>
  <si>
    <t>ECWP COORDINATOR</t>
  </si>
  <si>
    <t>GUZMAN, MARIANA</t>
  </si>
  <si>
    <t>Administrative Manager</t>
  </si>
  <si>
    <t xml:space="preserve">FLETCHER, AUDREY </t>
  </si>
  <si>
    <t>Accountant Analyst</t>
  </si>
  <si>
    <t>DELICH, KELLY</t>
  </si>
  <si>
    <t>Clinical Director</t>
  </si>
  <si>
    <t>LUA, CYNTHIA</t>
  </si>
  <si>
    <t>Field Based Clinician</t>
  </si>
  <si>
    <t>MEDRANO REYES, JANET</t>
  </si>
  <si>
    <t>Manager of SBS</t>
  </si>
  <si>
    <t>NUNEZ, CARLA</t>
  </si>
  <si>
    <t>Intake Coordinator</t>
  </si>
  <si>
    <t>RODRIGUEZ, ZENIA</t>
  </si>
  <si>
    <t>Edison Site Coord/Clin</t>
  </si>
  <si>
    <t>McKinley Site Coordinator</t>
  </si>
  <si>
    <t>VARGAS, ANGELA</t>
  </si>
  <si>
    <t>Muir Site Coordinator</t>
  </si>
  <si>
    <t>MORALES, LESLEY</t>
  </si>
  <si>
    <t>Receptionist</t>
  </si>
  <si>
    <t>CARRINGTON, CHERYL</t>
  </si>
  <si>
    <t>Director of QSC</t>
  </si>
  <si>
    <t>SMITHWICK, STEVEN</t>
  </si>
  <si>
    <t>Financial Manager of QSC</t>
  </si>
  <si>
    <t>HABTESLLASSIE, SELLAS</t>
  </si>
  <si>
    <t>Database Administrator</t>
  </si>
  <si>
    <t>ALLADO, IRENE</t>
  </si>
  <si>
    <t>Office Clerk/Support Staf</t>
  </si>
  <si>
    <t>HUBBARD, ANGELA</t>
  </si>
  <si>
    <t>Medical Biller</t>
  </si>
  <si>
    <t>LAM, MICHAEL</t>
  </si>
  <si>
    <t>Clinical Records Tech</t>
  </si>
  <si>
    <t>RUFF, JANE</t>
  </si>
  <si>
    <t>Quality Assurance Mgr I</t>
  </si>
  <si>
    <t>TORRES, CINDY</t>
  </si>
  <si>
    <t>QSC Billing Coordinator</t>
  </si>
  <si>
    <t>WATERS, TWALA</t>
  </si>
  <si>
    <t>Clinical Records Reviewer</t>
  </si>
  <si>
    <t>VORGEACK, NATHALIE</t>
  </si>
  <si>
    <t>File Clerk/Receptionist</t>
  </si>
  <si>
    <t>1A.  Staff Salaries TOTAL</t>
  </si>
  <si>
    <t>1B.  Staff Fringe Benefits</t>
  </si>
  <si>
    <t>List each fringe benefit as a percentage of total staff salaries listed above (FICA, SUI, Workers’ Compensation, Medical Insurance, Retirement, etc.).</t>
  </si>
  <si>
    <t>Description</t>
  </si>
  <si>
    <t>FICA/MEDICARE</t>
  </si>
  <si>
    <t>STATE UNEMPLOYMENT INSURANCE</t>
  </si>
  <si>
    <t>WORKERS COMP</t>
  </si>
  <si>
    <t>HEALTH &amp; DENTAL INSURANCE</t>
  </si>
  <si>
    <t>PENSION - 403b PAL @ 3%</t>
  </si>
  <si>
    <t>FDISABILITY/LIFE &amp; AD&amp;D</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</si>
  <si>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</si>
  <si>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</si>
  <si>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</si>
  <si>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</si>
  <si>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</si>
  <si>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</si>
  <si>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UTILITIES</t>
  </si>
  <si>
    <t>GUARD &amp; JANITORIAL SERVICES</t>
  </si>
  <si>
    <t>BUILDING &amp; GROUNDS REPAIR &amp; MAINTENANCE</t>
  </si>
  <si>
    <t>PROPERTY INSURANCE</t>
  </si>
  <si>
    <t>PROPERTY TAXES</t>
  </si>
  <si>
    <t>DEPRECIATION EXPENSES</t>
  </si>
  <si>
    <t>OFFICE SUPPLIES</t>
  </si>
  <si>
    <t>COMPUTERS HARDWARE/SOFTWARE</t>
  </si>
  <si>
    <t>PROGRAM SUPPLIES</t>
  </si>
  <si>
    <t>PRINTING</t>
  </si>
  <si>
    <t>CONFERENCES &amp; WORKSHOPS</t>
  </si>
  <si>
    <t>BONDIING &amp; LIABILITY INSURANCE</t>
  </si>
  <si>
    <t>PROFESSIONAL SERVICES</t>
  </si>
  <si>
    <t>MILEAGE</t>
  </si>
  <si>
    <t>TELEPHONE EXPENSE</t>
  </si>
  <si>
    <t>POSTAGE &amp; DELIVERIES</t>
  </si>
  <si>
    <t>3.  Operating Expenses TOTAL</t>
  </si>
  <si>
    <t>4.  Direct Client Support</t>
  </si>
  <si>
    <t>List any expenses associated with direct service provision, individual client support, scholarships, or stipends. Include estimated number of recipients.</t>
  </si>
  <si>
    <t>PSYCHIATRIC SERVICES</t>
  </si>
  <si>
    <t>4.  Scholarships/Stipends TOTAL</t>
  </si>
  <si>
    <t>5.  Other</t>
  </si>
  <si>
    <t>List any program expense not appropriate for any of the above line items and provide justification.</t>
  </si>
  <si>
    <t>HOUSEKEEPING SUPPLIES</t>
  </si>
  <si>
    <t>FOOD &amp; REFRESHMENT</t>
  </si>
  <si>
    <t>LICENSES &amp; PERMITS</t>
  </si>
  <si>
    <t>MEMBERSHIPS/SUBSCRIPTIONS</t>
  </si>
  <si>
    <t>MISC</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</si>
  <si>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</si>
  <si>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</si>
  <si>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</si>
  <si>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</si>
  <si>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</si>
  <si>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</si>
  <si>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</si>
  <si>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</si>
  <si>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</si>
  <si>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</si>
  <si>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</si>
  <si>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</si>
  <si>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</si>
  <si>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</si>
  <si>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</si>
  <si>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</si>
  <si>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</si>
  <si>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</si>
  <si>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</si>
  <si>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</si>
  <si>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DMH</t>
  </si>
  <si>
    <t>2.  Private/Corporate Grants</t>
  </si>
  <si>
    <t>3.  Individual Donations</t>
  </si>
  <si>
    <t>4.  Fundraising Events</t>
  </si>
  <si>
    <t>Brokers Challenge</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</si>
  <si>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</si>
  <si>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</si>
  <si>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</si>
  <si>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</si>
  <si>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</si>
  <si>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</si>
  <si>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</si>
  <si>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</si>
  <si>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</si>
  <si>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</si>
  <si>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</si>
  <si>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</si>
  <si>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</si>
  <si>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</si>
  <si>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</si>
  <si>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</si>
  <si>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</si>
  <si>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N/A</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</si>
  <si>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</si>
  <si>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</si>
  <si>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</si>
  <si>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</si>
  <si>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</si>
  <si>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</si>
  <si>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</si>
  <si>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</si>
  <si>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</si>
  <si>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</si>
  <si>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</si>
  <si>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</si>
  <si>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</si>
  <si>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</si>
  <si>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</si>
  <si>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</si>
  <si>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</si>
  <si>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</si>
  <si>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</si>
  <si>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</si>
  <si>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</si>
  <si>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</si>
  <si>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</si>
  <si>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</si>
  <si>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</si>
  <si>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</si>
  <si>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</si>
  <si>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</si>
  <si>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</si>
  <si>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</si>
  <si>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</si>
  <si>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</si>
  <si>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</si>
  <si>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</si>
  <si>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</si>
  <si>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</si>
  <si>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</si>
  <si>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</si>
  <si>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</si>
  <si>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</si>
  <si>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</si>
  <si>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</si>
  <si>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</si>
  <si>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</si>
  <si>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</si>
  <si>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</si>
  <si>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</si>
  <si>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</si>
  <si>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</si>
  <si>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</si>
  <si>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</si>
  <si>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</si>
  <si>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</si>
  <si>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</si>
  <si>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</si>
  <si>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</si>
  <si>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</si>
  <si>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</si>
  <si>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</si>
  <si>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Type</t>
  </si>
  <si>
    <t>Dept of Mental Health</t>
  </si>
  <si>
    <t>WIN Inn2</t>
  </si>
  <si>
    <t>Organizational Funds</t>
  </si>
  <si>
    <t>Private Pay</t>
  </si>
  <si>
    <t>HERRERA, ANGELA</t>
  </si>
  <si>
    <t>Actual: $741,271</t>
  </si>
  <si>
    <t>Actual: $137,166</t>
  </si>
  <si>
    <t>Actual: $111,211</t>
  </si>
  <si>
    <t>Actual: $15,568</t>
  </si>
  <si>
    <t>Actual: $75,697</t>
  </si>
  <si>
    <t>Broker's Challenge</t>
  </si>
  <si>
    <t>CRUZ, KATIE</t>
  </si>
  <si>
    <t>MORRISETTE, ATHENA</t>
  </si>
  <si>
    <t>MEDBERY, NOELLE</t>
  </si>
  <si>
    <t>LOPEZ, THEODORE</t>
  </si>
  <si>
    <t>TUTON, THERESA</t>
  </si>
  <si>
    <t>Accrued Vacation/Adj</t>
  </si>
  <si>
    <t>Actual: $136,009</t>
  </si>
  <si>
    <t>Actual: $1,216,922</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</si>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</sst>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4"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u/>
      <sz val="10"/>
      <color theme="1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3" fillId="0" borderId="0" applyNumberFormat="0" applyFill="0" applyBorder="0" applyAlignment="0" applyProtection="0"/>
  </cellStyleXfs>
  <cellXfs count="372">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1" fillId="0" borderId="38" xfId="3" applyFont="1" applyFill="1"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37"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9" fontId="2" fillId="4" borderId="42" xfId="5"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2"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5"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6" xfId="3" applyFont="1" applyFill="1" applyBorder="1" applyAlignment="1" applyProtection="1">
      <alignment horizontal="center" vertical="center"/>
    </xf>
    <xf numFmtId="0" fontId="21" fillId="4" borderId="47"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4" fillId="12" borderId="0" xfId="3" applyFont="1" applyFill="1" applyProtection="1">
      <protection locked="0"/>
    </xf>
    <xf numFmtId="0" fontId="4" fillId="12" borderId="12" xfId="3" applyFont="1" applyFill="1" applyBorder="1" applyProtection="1">
      <protection locked="0"/>
    </xf>
    <xf numFmtId="0" fontId="4" fillId="12" borderId="15" xfId="3" applyFont="1" applyFill="1" applyBorder="1" applyProtection="1">
      <protection locked="0"/>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1" fillId="0" borderId="0" xfId="3" applyAlignment="1" applyProtection="1">
      <alignment horizontal="left" wrapText="1"/>
    </xf>
    <xf numFmtId="0" fontId="1" fillId="12" borderId="12" xfId="3" applyFill="1" applyBorder="1" applyProtection="1">
      <protection locked="0"/>
    </xf>
    <xf numFmtId="42" fontId="4" fillId="12" borderId="12" xfId="2" applyNumberFormat="1" applyFont="1" applyFill="1" applyBorder="1" applyAlignment="1" applyProtection="1">
      <protection locked="0"/>
    </xf>
    <xf numFmtId="42" fontId="3" fillId="12" borderId="12" xfId="3" applyNumberFormat="1" applyFont="1" applyFill="1" applyBorder="1" applyProtection="1">
      <protection locked="0"/>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49" fontId="1" fillId="12" borderId="20" xfId="0" applyNumberFormat="1" applyFont="1" applyFill="1" applyBorder="1" applyAlignment="1" applyProtection="1">
      <alignment horizontal="left" vertical="top"/>
    </xf>
    <xf numFmtId="49" fontId="1" fillId="12" borderId="45" xfId="0" applyNumberFormat="1" applyFont="1" applyFill="1" applyBorder="1" applyAlignment="1" applyProtection="1">
      <alignment horizontal="left" vertical="top" shrinkToFit="1"/>
    </xf>
    <xf numFmtId="49" fontId="1" fillId="12" borderId="45"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xf>
    <xf numFmtId="49" fontId="1" fillId="12" borderId="45" xfId="5" applyNumberFormat="1" applyFont="1" applyFill="1" applyBorder="1" applyAlignment="1" applyProtection="1">
      <alignment horizontal="left" vertical="top" wrapText="1"/>
    </xf>
    <xf numFmtId="49" fontId="1" fillId="12" borderId="20" xfId="3"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49" fontId="1" fillId="12" borderId="57" xfId="3" applyNumberFormat="1" applyFont="1" applyFill="1" applyBorder="1" applyAlignment="1" applyProtection="1">
      <alignment horizontal="left" vertical="top" wrapText="1"/>
    </xf>
    <xf numFmtId="49" fontId="1" fillId="12" borderId="44" xfId="3"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5"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3" xfId="3" applyNumberFormat="1" applyFont="1" applyFill="1" applyBorder="1" applyAlignment="1" applyProtection="1">
      <alignment horizontal="left" vertical="top" wrapText="1"/>
    </xf>
    <xf numFmtId="49" fontId="1" fillId="12" borderId="51" xfId="0" applyNumberFormat="1" applyFont="1" applyFill="1" applyBorder="1" applyAlignment="1" applyProtection="1">
      <alignment horizontal="left" vertical="top"/>
    </xf>
    <xf numFmtId="49" fontId="1" fillId="12" borderId="55" xfId="5"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49" fontId="1" fillId="12" borderId="56" xfId="3" applyNumberFormat="1" applyFont="1" applyFill="1" applyBorder="1" applyAlignment="1" applyProtection="1">
      <alignment horizontal="left" vertical="top" wrapText="1"/>
    </xf>
    <xf numFmtId="49" fontId="1" fillId="12" borderId="58" xfId="0" applyNumberFormat="1" applyFont="1" applyFill="1" applyBorder="1" applyAlignment="1" applyProtection="1">
      <alignment horizontal="left" vertical="top" shrinkToFit="1"/>
    </xf>
    <xf numFmtId="49" fontId="1" fillId="12" borderId="59" xfId="0" applyNumberFormat="1" applyFont="1" applyFill="1" applyBorder="1" applyAlignment="1" applyProtection="1">
      <alignment horizontal="left" vertical="top" shrinkToFit="1"/>
    </xf>
    <xf numFmtId="49" fontId="1" fillId="12" borderId="60" xfId="5" applyNumberFormat="1" applyFont="1" applyFill="1" applyBorder="1" applyAlignment="1" applyProtection="1">
      <alignment horizontal="left" vertical="top" wrapText="1"/>
    </xf>
    <xf numFmtId="49" fontId="1" fillId="12" borderId="58" xfId="3" applyNumberFormat="1" applyFont="1" applyFill="1" applyBorder="1" applyAlignment="1" applyProtection="1">
      <alignment horizontal="left" vertical="top" wrapText="1"/>
    </xf>
    <xf numFmtId="49" fontId="1" fillId="12" borderId="61" xfId="5" applyNumberFormat="1" applyFont="1" applyFill="1" applyBorder="1" applyAlignment="1" applyProtection="1">
      <alignment horizontal="left" vertical="top" wrapText="1"/>
    </xf>
    <xf numFmtId="0" fontId="1" fillId="12" borderId="29" xfId="0" applyFont="1" applyFill="1" applyBorder="1" applyProtection="1"/>
    <xf numFmtId="0" fontId="1" fillId="12" borderId="26" xfId="2" applyNumberFormat="1" applyFont="1" applyFill="1" applyBorder="1" applyProtection="1"/>
    <xf numFmtId="0" fontId="4" fillId="0" borderId="0" xfId="3" applyFont="1" applyProtection="1">
      <protection locked="0"/>
    </xf>
    <xf numFmtId="0" fontId="4" fillId="0" borderId="0" xfId="3" applyFont="1" applyAlignment="1" applyProtection="1">
      <alignment wrapText="1"/>
      <protection locked="0"/>
    </xf>
    <xf numFmtId="0" fontId="4" fillId="0" borderId="49" xfId="3" applyFont="1" applyBorder="1" applyProtection="1">
      <protection locked="0"/>
    </xf>
    <xf numFmtId="0" fontId="1" fillId="0" borderId="0" xfId="3" applyProtection="1">
      <protection locked="0"/>
    </xf>
    <xf numFmtId="0" fontId="1" fillId="0" borderId="0" xfId="3" applyAlignment="1" applyProtection="1">
      <alignment wrapText="1"/>
      <protection locked="0"/>
    </xf>
    <xf numFmtId="0" fontId="1" fillId="0" borderId="49" xfId="3" applyBorder="1" applyProtection="1">
      <protection locked="0"/>
    </xf>
    <xf numFmtId="1" fontId="4" fillId="12" borderId="14" xfId="3" applyNumberFormat="1"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1" fontId="4" fillId="6" borderId="14" xfId="3" applyNumberFormat="1" applyFont="1" applyFill="1" applyBorder="1" applyAlignment="1" applyProtection="1">
      <alignment horizontal="center" vertical="center" wrapText="1"/>
    </xf>
    <xf numFmtId="1" fontId="22" fillId="6" borderId="14" xfId="3" applyNumberFormat="1" applyFont="1" applyFill="1" applyBorder="1" applyAlignment="1" applyProtection="1">
      <alignment vertical="center" wrapText="1"/>
    </xf>
    <xf numFmtId="1" fontId="22" fillId="6" borderId="14" xfId="3" applyNumberFormat="1" applyFont="1" applyFill="1" applyBorder="1" applyAlignment="1" applyProtection="1">
      <alignment horizontal="center" vertical="center" wrapText="1"/>
    </xf>
    <xf numFmtId="1" fontId="22" fillId="6" borderId="14" xfId="3" quotePrefix="1" applyNumberFormat="1" applyFont="1" applyFill="1" applyBorder="1" applyAlignment="1" applyProtection="1">
      <alignment vertic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164" fontId="1" fillId="6" borderId="21" xfId="2" applyNumberFormat="1" applyFont="1" applyFill="1" applyBorder="1" applyProtection="1"/>
    <xf numFmtId="164" fontId="1" fillId="6" borderId="19" xfId="2" applyNumberFormat="1" applyFont="1" applyFill="1" applyBorder="1" applyProtection="1"/>
    <xf numFmtId="42" fontId="1" fillId="6" borderId="28" xfId="2" applyNumberFormat="1" applyFont="1" applyFill="1" applyBorder="1" applyProtection="1"/>
    <xf numFmtId="42" fontId="1" fillId="6" borderId="23" xfId="2" applyNumberFormat="1" applyFont="1" applyFill="1" applyBorder="1" applyProtection="1"/>
    <xf numFmtId="42" fontId="1" fillId="6" borderId="27" xfId="2" applyNumberFormat="1" applyFont="1" applyFill="1" applyBorder="1" applyProtection="1"/>
    <xf numFmtId="49" fontId="1" fillId="12" borderId="45" xfId="0" applyNumberFormat="1" applyFont="1" applyFill="1" applyBorder="1" applyAlignment="1" applyProtection="1">
      <alignment horizontal="left" vertical="top"/>
    </xf>
    <xf numFmtId="42" fontId="1" fillId="0" borderId="19" xfId="3" applyNumberFormat="1" applyFont="1" applyFill="1" applyBorder="1" applyProtection="1"/>
    <xf numFmtId="49" fontId="1" fillId="12" borderId="40" xfId="3"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shrinkToFit="1"/>
    </xf>
    <xf numFmtId="49" fontId="1" fillId="12" borderId="22" xfId="5" applyNumberFormat="1" applyFont="1" applyFill="1" applyBorder="1" applyAlignment="1" applyProtection="1">
      <alignment horizontal="left" vertical="top" wrapText="1"/>
    </xf>
    <xf numFmtId="49" fontId="1" fillId="12" borderId="45" xfId="0" applyNumberFormat="1" applyFont="1" applyFill="1" applyBorder="1" applyAlignment="1" applyProtection="1">
      <alignment horizontal="center" vertical="top" shrinkToFit="1"/>
    </xf>
    <xf numFmtId="49" fontId="1" fillId="12" borderId="21" xfId="3" applyNumberFormat="1" applyFont="1" applyFill="1" applyBorder="1" applyAlignment="1" applyProtection="1">
      <alignment horizontal="left" vertical="top" wrapText="1"/>
    </xf>
    <xf numFmtId="170" fontId="1" fillId="12" borderId="45" xfId="0" applyNumberFormat="1" applyFont="1" applyFill="1" applyBorder="1" applyAlignment="1" applyProtection="1">
      <alignment horizontal="center" vertical="top" shrinkToFit="1"/>
    </xf>
    <xf numFmtId="49" fontId="1" fillId="12" borderId="22" xfId="3" applyNumberFormat="1" applyFont="1" applyFill="1" applyBorder="1" applyAlignment="1" applyProtection="1">
      <alignment horizontal="left" vertical="top" wrapText="1"/>
    </xf>
    <xf numFmtId="9" fontId="1" fillId="12" borderId="26" xfId="0" applyNumberFormat="1" applyFont="1" applyFill="1" applyBorder="1" applyAlignment="1" applyProtection="1">
      <alignment horizontal="center" vertical="top" shrinkToFit="1"/>
    </xf>
    <xf numFmtId="42" fontId="1" fillId="6" borderId="36" xfId="2" applyNumberFormat="1" applyFont="1" applyFill="1" applyBorder="1" applyProtection="1"/>
    <xf numFmtId="42" fontId="1" fillId="6" borderId="28" xfId="3" applyNumberFormat="1" applyFont="1" applyFill="1" applyBorder="1" applyProtection="1"/>
    <xf numFmtId="2" fontId="1" fillId="12" borderId="21" xfId="0" applyNumberFormat="1" applyFont="1" applyFill="1" applyBorder="1" applyAlignment="1" applyProtection="1">
      <alignment horizontal="center" vertical="top" shrinkToFit="1"/>
    </xf>
    <xf numFmtId="2" fontId="1" fillId="12" borderId="22" xfId="0" applyNumberFormat="1" applyFont="1" applyFill="1" applyBorder="1" applyAlignment="1" applyProtection="1">
      <alignment horizontal="center" vertical="top" shrinkToFit="1"/>
    </xf>
    <xf numFmtId="2" fontId="1" fillId="12" borderId="0"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right"/>
    </xf>
    <xf numFmtId="0" fontId="1" fillId="0" borderId="0" xfId="3" applyAlignment="1">
      <alignment horizontal="left" vertical="center" wrapText="1"/>
    </xf>
    <xf numFmtId="0" fontId="17" fillId="11" borderId="0" xfId="3" applyFont="1" applyFill="1" applyAlignment="1">
      <alignment horizontal="left" vertical="center" wrapTex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1" fillId="4" borderId="47" xfId="3" applyFont="1" applyFill="1" applyBorder="1" applyAlignment="1" applyProtection="1">
      <alignment horizontal="left" vertical="center" wrapText="1"/>
    </xf>
    <xf numFmtId="0" fontId="21" fillId="4" borderId="50" xfId="3" applyFont="1" applyFill="1" applyBorder="1" applyAlignment="1" applyProtection="1">
      <alignment horizontal="left" vertical="center" wrapText="1"/>
    </xf>
    <xf numFmtId="0" fontId="21" fillId="4" borderId="48"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6"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3" fillId="0" borderId="0" xfId="3" applyFont="1" applyFill="1" applyAlignment="1" applyProtection="1">
      <alignment vertical="top"/>
    </xf>
    <xf numFmtId="0" fontId="32" fillId="0" borderId="0" xfId="3" applyFont="1" applyFill="1" applyAlignment="1" applyProtection="1"/>
    <xf numFmtId="0" fontId="4" fillId="0" borderId="48"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0" fontId="3" fillId="0" borderId="0" xfId="3" applyFont="1" applyAlignment="1" applyProtection="1"/>
    <xf numFmtId="0" fontId="1" fillId="0" borderId="0" xfId="3" applyAlignment="1" applyProtection="1"/>
    <xf numFmtId="0" fontId="3" fillId="0" borderId="0" xfId="3" applyFont="1" applyAlignment="1" applyProtection="1">
      <protection locked="0"/>
    </xf>
    <xf numFmtId="0" fontId="1" fillId="0" borderId="0" xfId="3" applyAlignment="1" applyProtection="1">
      <protection locked="0"/>
    </xf>
    <xf numFmtId="0" fontId="12" fillId="0" borderId="0" xfId="3" applyFont="1" applyAlignment="1" applyProtection="1"/>
    <xf numFmtId="0" fontId="33" fillId="0" borderId="0" xfId="6" applyFill="1" applyAlignment="1" applyProtection="1">
      <alignment horizontal="center" vertical="center" textRotation="90" wrapText="1"/>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codeName="Sheet1">
    <tabColor rgb="FFFF0000"/>
    <pageSetUpPr autoPageBreaks="0"/>
  </sheetPr>
  <dimension ref="A1:F39"/>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7" customFormat="1" ht="18" x14ac:dyDescent="0.25">
      <c r="A1" s="352" t="s">
        <v>0</v>
      </c>
      <c r="B1" s="352"/>
      <c r="C1" s="352"/>
    </row>
    <row r="2" spans="1:3" ht="18" x14ac:dyDescent="0.25">
      <c r="A2" s="352" t="s">
        <v>1</v>
      </c>
      <c r="B2" s="352"/>
      <c r="C2" s="352"/>
    </row>
    <row r="3" spans="1:3" s="44" customFormat="1" ht="13.5" thickBot="1" x14ac:dyDescent="0.25">
      <c r="A3" s="1"/>
      <c r="B3" s="1"/>
      <c r="C3" s="1"/>
    </row>
    <row r="4" spans="1:3" ht="15.75" thickBot="1" x14ac:dyDescent="0.25">
      <c r="A4" s="76" t="s">
        <v>2</v>
      </c>
      <c r="B4" s="75" t="s">
        <v>3</v>
      </c>
      <c r="C4" s="75" t="s">
        <v>4</v>
      </c>
    </row>
    <row r="5" spans="1:3" ht="29.25" thickBot="1" x14ac:dyDescent="0.25">
      <c r="A5" s="74" t="s">
        <v>5</v>
      </c>
      <c r="B5" s="73" t="s">
        <v>6</v>
      </c>
      <c r="C5" s="72">
        <v>44592</v>
      </c>
    </row>
    <row r="6" spans="1:3" ht="29.25" thickBot="1" x14ac:dyDescent="0.25">
      <c r="A6" s="74" t="s">
        <v>7</v>
      </c>
      <c r="B6" s="73" t="s">
        <v>8</v>
      </c>
      <c r="C6" s="72">
        <v>44774</v>
      </c>
    </row>
    <row r="8" spans="1:3" ht="17.25" customHeight="1" x14ac:dyDescent="0.2">
      <c r="A8" s="347" t="s">
        <v>9</v>
      </c>
      <c r="B8" s="347"/>
      <c r="C8" s="347"/>
    </row>
    <row r="9" spans="1:3" ht="74.25" customHeight="1" x14ac:dyDescent="0.2">
      <c r="A9" s="346" t="s">
        <v>10</v>
      </c>
      <c r="B9" s="346"/>
      <c r="C9" s="346"/>
    </row>
    <row r="10" spans="1:3" ht="45.75" customHeight="1" x14ac:dyDescent="0.2">
      <c r="A10" s="346" t="s">
        <v>11</v>
      </c>
      <c r="B10" s="346"/>
      <c r="C10" s="346"/>
    </row>
    <row r="11" spans="1:3" ht="57" customHeight="1" x14ac:dyDescent="0.2">
      <c r="A11" s="346" t="s">
        <v>12</v>
      </c>
      <c r="B11" s="346"/>
      <c r="C11" s="346"/>
    </row>
    <row r="12" spans="1:3" ht="11.25" customHeight="1" x14ac:dyDescent="0.2">
      <c r="A12" s="346"/>
      <c r="B12" s="346"/>
      <c r="C12" s="346"/>
    </row>
    <row r="13" spans="1:3" ht="15" customHeight="1" x14ac:dyDescent="0.2">
      <c r="A13" s="347" t="s">
        <v>13</v>
      </c>
      <c r="B13" s="347"/>
      <c r="C13" s="347"/>
    </row>
    <row r="14" spans="1:3" ht="65.25" customHeight="1" x14ac:dyDescent="0.2">
      <c r="A14" s="346" t="s">
        <v>14</v>
      </c>
      <c r="B14" s="346"/>
      <c r="C14" s="346"/>
    </row>
    <row r="15" spans="1:3" s="41" customFormat="1" ht="50.25" customHeight="1" x14ac:dyDescent="0.2">
      <c r="A15" s="346" t="s">
        <v>15</v>
      </c>
      <c r="B15" s="346"/>
      <c r="C15" s="346"/>
    </row>
    <row r="16" spans="1:3" x14ac:dyDescent="0.2">
      <c r="A16" s="346"/>
      <c r="B16" s="346"/>
      <c r="C16" s="346"/>
    </row>
    <row r="17" spans="1:3" ht="16.5" customHeight="1" x14ac:dyDescent="0.2">
      <c r="A17" s="351" t="s">
        <v>16</v>
      </c>
      <c r="B17" s="351"/>
      <c r="C17" s="351"/>
    </row>
    <row r="18" spans="1:3" ht="30.75" customHeight="1" x14ac:dyDescent="0.2">
      <c r="A18" s="350" t="s">
        <v>17</v>
      </c>
      <c r="B18" s="350"/>
      <c r="C18" s="350"/>
    </row>
    <row r="19" spans="1:3" ht="30" customHeight="1" x14ac:dyDescent="0.2">
      <c r="A19" s="350" t="s">
        <v>18</v>
      </c>
      <c r="B19" s="350"/>
      <c r="C19" s="350"/>
    </row>
    <row r="20" spans="1:3" s="41" customFormat="1" ht="24.75" customHeight="1" x14ac:dyDescent="0.2">
      <c r="A20" s="350" t="s">
        <v>19</v>
      </c>
      <c r="B20" s="350"/>
      <c r="C20" s="350"/>
    </row>
    <row r="21" spans="1:3" ht="30" customHeight="1" x14ac:dyDescent="0.2">
      <c r="A21" s="350" t="s">
        <v>20</v>
      </c>
      <c r="B21" s="350"/>
      <c r="C21" s="350"/>
    </row>
    <row r="22" spans="1:3" x14ac:dyDescent="0.2">
      <c r="A22" s="346"/>
      <c r="B22" s="346"/>
      <c r="C22" s="346"/>
    </row>
    <row r="23" spans="1:3" ht="12.75" customHeight="1" x14ac:dyDescent="0.2">
      <c r="A23" s="351" t="s">
        <v>21</v>
      </c>
      <c r="B23" s="351"/>
      <c r="C23" s="351"/>
    </row>
    <row r="24" spans="1:3" s="41" customFormat="1" ht="156.75" customHeight="1" x14ac:dyDescent="0.2">
      <c r="A24" s="349" t="s">
        <v>22</v>
      </c>
      <c r="B24" s="349"/>
      <c r="C24" s="349"/>
    </row>
    <row r="25" spans="1:3" ht="160.5" customHeight="1" x14ac:dyDescent="0.2">
      <c r="A25" s="350" t="s">
        <v>23</v>
      </c>
      <c r="B25" s="350"/>
      <c r="C25" s="350"/>
    </row>
    <row r="26" spans="1:3" x14ac:dyDescent="0.2">
      <c r="A26" s="346"/>
      <c r="B26" s="346"/>
      <c r="C26" s="346"/>
    </row>
    <row r="27" spans="1:3" ht="13.5" customHeight="1" x14ac:dyDescent="0.2">
      <c r="A27" s="351" t="s">
        <v>24</v>
      </c>
      <c r="B27" s="351"/>
      <c r="C27" s="351"/>
    </row>
    <row r="28" spans="1:3" ht="54" customHeight="1" x14ac:dyDescent="0.2">
      <c r="A28" s="350" t="s">
        <v>25</v>
      </c>
      <c r="B28" s="350"/>
      <c r="C28" s="350"/>
    </row>
    <row r="29" spans="1:3" ht="31.5" customHeight="1" x14ac:dyDescent="0.2">
      <c r="A29" s="350" t="s">
        <v>26</v>
      </c>
      <c r="B29" s="350"/>
      <c r="C29" s="350"/>
    </row>
    <row r="30" spans="1:3" ht="55.5" customHeight="1" x14ac:dyDescent="0.2">
      <c r="A30" s="350" t="s">
        <v>27</v>
      </c>
      <c r="B30" s="350"/>
      <c r="C30" s="350"/>
    </row>
    <row r="31" spans="1:3" x14ac:dyDescent="0.2">
      <c r="A31" s="346"/>
      <c r="B31" s="346"/>
      <c r="C31" s="346"/>
    </row>
    <row r="32" spans="1:3" x14ac:dyDescent="0.2">
      <c r="A32" s="347" t="s">
        <v>28</v>
      </c>
      <c r="B32" s="347"/>
      <c r="C32" s="347"/>
    </row>
    <row r="33" spans="1:6" ht="43.5" customHeight="1" x14ac:dyDescent="0.2">
      <c r="A33" s="346" t="s">
        <v>29</v>
      </c>
      <c r="B33" s="346"/>
      <c r="C33" s="346"/>
    </row>
    <row r="35" spans="1:6" x14ac:dyDescent="0.2">
      <c r="A35" s="347" t="s">
        <v>30</v>
      </c>
      <c r="B35" s="347"/>
      <c r="C35" s="347"/>
    </row>
    <row r="36" spans="1:6" ht="54" customHeight="1" x14ac:dyDescent="0.2">
      <c r="A36" s="346" t="s">
        <v>31</v>
      </c>
      <c r="B36" s="346"/>
      <c r="C36" s="346"/>
    </row>
    <row r="37" spans="1:6" x14ac:dyDescent="0.2">
      <c r="A37" s="346"/>
      <c r="B37" s="346"/>
      <c r="C37" s="346"/>
    </row>
    <row r="38" spans="1:6" x14ac:dyDescent="0.2">
      <c r="A38" s="347" t="s">
        <v>32</v>
      </c>
      <c r="B38" s="347"/>
      <c r="C38" s="347"/>
    </row>
    <row r="39" spans="1:6" ht="87.75" customHeight="1" x14ac:dyDescent="0.2">
      <c r="A39" s="348" t="s">
        <v>33</v>
      </c>
      <c r="B39" s="348"/>
      <c r="C39" s="348"/>
      <c r="D39" s="155"/>
      <c r="E39" s="155"/>
      <c r="F39" s="155"/>
    </row>
  </sheetData>
  <sheetProtection algorithmName="SHA-512" hashValue="s6hhRvngdZi2ig1RHV6M8jOvGXnPIY1tetFVdYq7Lu0OgyC3TKJ6h5ywLrliBLuHRrIbSkS/UoVSBKRcVjUTsA==" saltValue="S8Cxz7c9IX8HWddaloV9Aw==" spinCount="100000" sheet="1" objects="1" scenarios="1"/>
  <mergeCells count="33">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92" orientation="portrait" r:id="rId1"/>
  <headerFooter>
    <oddFooter>&amp;LCity of Santa Monica
Exhibit C2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FF00"/>
  </sheetPr>
  <dimension ref="A1:N164"/>
  <sheetViews>
    <sheetView showGridLines="0" zoomScale="90" zoomScaleNormal="9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64" t="s">
        <v>34</v>
      </c>
      <c r="B1" s="39"/>
      <c r="C1" s="38"/>
      <c r="D1" s="38"/>
      <c r="E1" s="38"/>
      <c r="F1" s="38"/>
      <c r="G1" s="38"/>
      <c r="H1" s="38"/>
      <c r="I1" s="38"/>
      <c r="J1" s="38"/>
      <c r="K1" s="38"/>
      <c r="L1" s="38"/>
      <c r="M1" s="37"/>
      <c r="N1" s="36"/>
    </row>
    <row r="2" spans="1:14" ht="18" x14ac:dyDescent="0.2">
      <c r="A2" s="196" t="s">
        <v>35</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36</v>
      </c>
      <c r="B4" s="18"/>
      <c r="C4" s="18"/>
      <c r="D4" s="18"/>
      <c r="E4" s="18"/>
      <c r="F4" s="18"/>
      <c r="G4" s="18"/>
      <c r="H4" s="18"/>
      <c r="I4" s="18"/>
      <c r="J4" s="18"/>
      <c r="K4" s="18"/>
      <c r="L4" s="18"/>
      <c r="M4" s="139"/>
      <c r="N4" s="17"/>
    </row>
    <row r="5" spans="1:14" ht="33.75" x14ac:dyDescent="0.2">
      <c r="A5" s="138"/>
      <c r="B5" s="68"/>
      <c r="C5" s="68"/>
      <c r="D5" s="68"/>
      <c r="E5" s="68"/>
      <c r="F5" s="68"/>
      <c r="G5" s="157" t="s">
        <v>37</v>
      </c>
      <c r="H5" s="157" t="s">
        <v>38</v>
      </c>
      <c r="I5" s="157" t="s">
        <v>39</v>
      </c>
      <c r="J5" s="157" t="s">
        <v>40</v>
      </c>
      <c r="K5" s="157" t="s">
        <v>41</v>
      </c>
      <c r="L5" s="157" t="s">
        <v>42</v>
      </c>
      <c r="M5" s="158" t="s">
        <v>43</v>
      </c>
      <c r="N5" s="159" t="s">
        <v>44</v>
      </c>
    </row>
    <row r="6" spans="1:14" x14ac:dyDescent="0.2">
      <c r="A6" s="197" t="s">
        <v>45</v>
      </c>
      <c r="B6" s="230" t="s">
        <v>46</v>
      </c>
      <c r="C6" s="230"/>
      <c r="D6" s="190" t="str">
        <f>A24</f>
        <v>1A.  Staff Salaries</v>
      </c>
      <c r="E6" s="30"/>
      <c r="F6" s="30"/>
      <c r="G6" s="178">
        <f t="shared" ref="G6:I6" si="0">G63</f>
        <v>141481.39554589757</v>
      </c>
      <c r="H6" s="178">
        <f t="shared" si="0"/>
        <v>103689.43</v>
      </c>
      <c r="I6" s="178">
        <f t="shared" si="0"/>
        <v>37791.965545897576</v>
      </c>
      <c r="J6" s="178">
        <f t="shared" ref="J6:K6" si="1">J63</f>
        <v>58787.74</v>
      </c>
      <c r="K6" s="178">
        <f t="shared" si="1"/>
        <v>44831.481</v>
      </c>
      <c r="L6" s="178">
        <f>L63</f>
        <v>103619.22099999999</v>
      </c>
      <c r="M6" s="33">
        <f t="shared" ref="M6:M13" si="2">IFERROR(L6/H6,"N/A")</f>
        <v>0.99932289144611941</v>
      </c>
      <c r="N6" s="180">
        <f>N63</f>
        <v>325668</v>
      </c>
    </row>
    <row r="7" spans="1:14" x14ac:dyDescent="0.2">
      <c r="A7" s="197" t="s">
        <v>47</v>
      </c>
      <c r="B7" s="231" t="s">
        <v>48</v>
      </c>
      <c r="C7" s="231"/>
      <c r="D7" s="190" t="str">
        <f>A65</f>
        <v>1B.  Staff Fringe Benefits</v>
      </c>
      <c r="E7" s="30"/>
      <c r="F7" s="30"/>
      <c r="G7" s="178">
        <f t="shared" ref="G7:I7" si="3">G76</f>
        <v>45214</v>
      </c>
      <c r="H7" s="178">
        <f t="shared" si="3"/>
        <v>28146</v>
      </c>
      <c r="I7" s="178">
        <f t="shared" si="3"/>
        <v>17068</v>
      </c>
      <c r="J7" s="178">
        <f>J76</f>
        <v>13658.25</v>
      </c>
      <c r="K7" s="178">
        <f>K76</f>
        <v>14488</v>
      </c>
      <c r="L7" s="178">
        <f>L76</f>
        <v>28146.25</v>
      </c>
      <c r="M7" s="33">
        <f t="shared" si="2"/>
        <v>1.0000088822568038</v>
      </c>
      <c r="N7" s="180">
        <f>N76</f>
        <v>83284</v>
      </c>
    </row>
    <row r="8" spans="1:14" x14ac:dyDescent="0.2">
      <c r="A8" s="135"/>
      <c r="B8" s="30"/>
      <c r="C8" s="30"/>
      <c r="D8" s="190" t="str">
        <f>A78</f>
        <v>2.  Consultant Services</v>
      </c>
      <c r="E8" s="30"/>
      <c r="F8" s="30"/>
      <c r="G8" s="178">
        <f t="shared" ref="G8:I8" si="4">G84</f>
        <v>0</v>
      </c>
      <c r="H8" s="178">
        <f t="shared" si="4"/>
        <v>0</v>
      </c>
      <c r="I8" s="178">
        <f t="shared" si="4"/>
        <v>0</v>
      </c>
      <c r="J8" s="178">
        <f>J84</f>
        <v>0</v>
      </c>
      <c r="K8" s="178">
        <f>K84</f>
        <v>0</v>
      </c>
      <c r="L8" s="178">
        <f>L84</f>
        <v>0</v>
      </c>
      <c r="M8" s="33" t="str">
        <f t="shared" si="2"/>
        <v>N/A</v>
      </c>
      <c r="N8" s="180">
        <f>N84</f>
        <v>0</v>
      </c>
    </row>
    <row r="9" spans="1:14" x14ac:dyDescent="0.2">
      <c r="A9" s="135"/>
      <c r="B9" s="30"/>
      <c r="C9" s="30"/>
      <c r="D9" s="190" t="str">
        <f>A86</f>
        <v>3.  Operating Expenses</v>
      </c>
      <c r="E9" s="30"/>
      <c r="F9" s="30"/>
      <c r="G9" s="178">
        <f t="shared" ref="G9:L9" si="5">G105</f>
        <v>25690</v>
      </c>
      <c r="H9" s="178">
        <f t="shared" si="5"/>
        <v>11614</v>
      </c>
      <c r="I9" s="178">
        <f t="shared" si="5"/>
        <v>14076</v>
      </c>
      <c r="J9" s="178">
        <f t="shared" si="5"/>
        <v>0</v>
      </c>
      <c r="K9" s="178">
        <f t="shared" si="5"/>
        <v>11614</v>
      </c>
      <c r="L9" s="178">
        <f t="shared" si="5"/>
        <v>11614</v>
      </c>
      <c r="M9" s="33">
        <f t="shared" si="2"/>
        <v>1</v>
      </c>
      <c r="N9" s="180">
        <f>N105</f>
        <v>65253</v>
      </c>
    </row>
    <row r="10" spans="1:14" x14ac:dyDescent="0.2">
      <c r="A10" s="27" t="s">
        <v>49</v>
      </c>
      <c r="B10" s="322" t="s">
        <v>59</v>
      </c>
      <c r="C10" s="30"/>
      <c r="D10" s="190" t="str">
        <f>A107</f>
        <v>4.  Direct Client Support</v>
      </c>
      <c r="E10" s="30"/>
      <c r="F10" s="30"/>
      <c r="G10" s="178">
        <f>G113</f>
        <v>1618</v>
      </c>
      <c r="H10" s="178">
        <f t="shared" ref="H10:N10" si="6">H113</f>
        <v>0</v>
      </c>
      <c r="I10" s="178">
        <f t="shared" si="6"/>
        <v>1618</v>
      </c>
      <c r="J10" s="178">
        <f t="shared" si="6"/>
        <v>0</v>
      </c>
      <c r="K10" s="178">
        <f t="shared" si="6"/>
        <v>0</v>
      </c>
      <c r="L10" s="178">
        <f t="shared" si="6"/>
        <v>0</v>
      </c>
      <c r="M10" s="33" t="str">
        <f t="shared" si="2"/>
        <v>N/A</v>
      </c>
      <c r="N10" s="180">
        <f t="shared" si="6"/>
        <v>9731</v>
      </c>
    </row>
    <row r="11" spans="1:14" x14ac:dyDescent="0.2">
      <c r="A11" s="135"/>
      <c r="B11" s="30"/>
      <c r="C11" s="30"/>
      <c r="D11" s="190" t="str">
        <f>A115</f>
        <v>5.  Other</v>
      </c>
      <c r="E11" s="30"/>
      <c r="F11" s="30"/>
      <c r="G11" s="178">
        <f>G125</f>
        <v>633</v>
      </c>
      <c r="H11" s="178">
        <f t="shared" ref="H11:N11" si="7">H125</f>
        <v>370</v>
      </c>
      <c r="I11" s="178">
        <f t="shared" si="7"/>
        <v>263</v>
      </c>
      <c r="J11" s="178">
        <f t="shared" si="7"/>
        <v>0</v>
      </c>
      <c r="K11" s="178">
        <f t="shared" si="7"/>
        <v>370</v>
      </c>
      <c r="L11" s="178">
        <f t="shared" si="7"/>
        <v>370</v>
      </c>
      <c r="M11" s="33">
        <f t="shared" si="2"/>
        <v>1</v>
      </c>
      <c r="N11" s="180">
        <f t="shared" si="7"/>
        <v>4077</v>
      </c>
    </row>
    <row r="12" spans="1:14" x14ac:dyDescent="0.2">
      <c r="A12" s="135"/>
      <c r="B12" s="30"/>
      <c r="C12" s="30"/>
      <c r="D12" s="190" t="str">
        <f>A127</f>
        <v>6.  Indirect Administrative Costs</v>
      </c>
      <c r="E12" s="30"/>
      <c r="F12" s="30"/>
      <c r="G12" s="178">
        <f>G134</f>
        <v>34017</v>
      </c>
      <c r="H12" s="178">
        <f t="shared" ref="H12:L12" si="8">H134</f>
        <v>1072</v>
      </c>
      <c r="I12" s="178">
        <f t="shared" si="8"/>
        <v>32945</v>
      </c>
      <c r="J12" s="178">
        <f t="shared" si="8"/>
        <v>0</v>
      </c>
      <c r="K12" s="178">
        <f t="shared" si="8"/>
        <v>1142</v>
      </c>
      <c r="L12" s="178">
        <f t="shared" si="8"/>
        <v>1142</v>
      </c>
      <c r="M12" s="33">
        <f t="shared" si="2"/>
        <v>1.0652985074626866</v>
      </c>
      <c r="N12" s="180">
        <f>N134</f>
        <v>71692</v>
      </c>
    </row>
    <row r="13" spans="1:14" x14ac:dyDescent="0.2">
      <c r="A13" s="135" t="s">
        <v>51</v>
      </c>
      <c r="B13" s="323">
        <v>144891</v>
      </c>
      <c r="C13" s="30"/>
      <c r="D13" s="191" t="str">
        <f>C136</f>
        <v>7.   TOTAL BUDGET</v>
      </c>
      <c r="E13" s="26"/>
      <c r="F13" s="26"/>
      <c r="G13" s="179">
        <f>G136</f>
        <v>248653.39554589757</v>
      </c>
      <c r="H13" s="179">
        <f t="shared" ref="H13:L13" si="9">H136</f>
        <v>144891.43</v>
      </c>
      <c r="I13" s="179">
        <f t="shared" si="9"/>
        <v>103761.96554589758</v>
      </c>
      <c r="J13" s="179">
        <f t="shared" si="9"/>
        <v>72445.989999999991</v>
      </c>
      <c r="K13" s="179">
        <f t="shared" si="9"/>
        <v>72445.481</v>
      </c>
      <c r="L13" s="179">
        <f t="shared" si="9"/>
        <v>144891.47099999999</v>
      </c>
      <c r="M13" s="35">
        <f t="shared" si="2"/>
        <v>1.0000002829704973</v>
      </c>
      <c r="N13" s="181">
        <f>N136</f>
        <v>559705</v>
      </c>
    </row>
    <row r="14" spans="1:14" x14ac:dyDescent="0.2">
      <c r="A14" s="135" t="s">
        <v>52</v>
      </c>
      <c r="B14" s="198">
        <f>L13</f>
        <v>144891.47099999999</v>
      </c>
      <c r="C14" s="30"/>
      <c r="D14" s="30"/>
      <c r="E14" s="30"/>
      <c r="F14" s="30"/>
      <c r="G14" s="30"/>
      <c r="H14" s="30"/>
      <c r="I14" s="30"/>
      <c r="J14" s="30"/>
      <c r="K14" s="30"/>
      <c r="L14" s="30"/>
      <c r="M14" s="30"/>
      <c r="N14" s="160"/>
    </row>
    <row r="15" spans="1:14" x14ac:dyDescent="0.2">
      <c r="A15" s="135" t="s">
        <v>53</v>
      </c>
      <c r="B15" s="198">
        <f>B13-B14</f>
        <v>-0.47099999999045394</v>
      </c>
      <c r="C15" s="30"/>
      <c r="D15" s="30"/>
      <c r="E15" s="30"/>
      <c r="F15" s="30"/>
      <c r="G15" s="30"/>
      <c r="H15" s="30"/>
      <c r="I15" s="30"/>
      <c r="J15" s="30"/>
      <c r="K15" s="30"/>
      <c r="L15" s="30"/>
      <c r="M15" s="30"/>
      <c r="N15" s="160"/>
    </row>
    <row r="16" spans="1:14" x14ac:dyDescent="0.2">
      <c r="A16" s="135"/>
      <c r="B16" s="30"/>
      <c r="C16" s="30"/>
      <c r="D16" s="30"/>
      <c r="E16" s="30"/>
      <c r="F16" s="30"/>
      <c r="G16" s="30"/>
      <c r="H16" s="30"/>
      <c r="I16" s="30"/>
      <c r="J16" s="30"/>
      <c r="K16" s="30"/>
      <c r="L16" s="30"/>
      <c r="M16" s="30"/>
      <c r="N16" s="160"/>
    </row>
    <row r="17" spans="1:14" ht="13.5" thickBot="1" x14ac:dyDescent="0.25">
      <c r="A17" s="136"/>
      <c r="B17" s="137"/>
      <c r="C17" s="47"/>
      <c r="D17" s="137"/>
      <c r="E17" s="137"/>
      <c r="F17" s="137"/>
      <c r="G17" s="47"/>
      <c r="H17" s="47"/>
      <c r="I17" s="47"/>
      <c r="J17" s="47"/>
      <c r="K17" s="47"/>
      <c r="L17" s="47"/>
      <c r="M17" s="47"/>
      <c r="N17" s="161"/>
    </row>
    <row r="18" spans="1:14" ht="13.5" thickBot="1" x14ac:dyDescent="0.25">
      <c r="A18" s="26"/>
      <c r="B18" s="30"/>
      <c r="C18" s="30"/>
      <c r="D18" s="26"/>
      <c r="E18" s="26"/>
      <c r="F18" s="26"/>
      <c r="G18" s="78"/>
      <c r="H18" s="78"/>
      <c r="I18" s="78"/>
      <c r="J18" s="78"/>
      <c r="K18" s="78"/>
      <c r="L18" s="78"/>
      <c r="M18" s="70"/>
      <c r="N18" s="78"/>
    </row>
    <row r="19" spans="1:14" ht="13.5" hidden="1" thickBot="1" x14ac:dyDescent="0.25">
      <c r="A19" s="199" t="s">
        <v>54</v>
      </c>
      <c r="B19" s="200"/>
      <c r="C19" s="68" t="s">
        <v>55</v>
      </c>
      <c r="D19" s="165"/>
      <c r="E19" s="165"/>
      <c r="F19" s="68" t="s">
        <v>56</v>
      </c>
      <c r="G19" s="166"/>
      <c r="H19" s="166"/>
      <c r="I19" s="166"/>
      <c r="J19" s="166"/>
      <c r="K19" s="166"/>
      <c r="L19" s="166"/>
      <c r="M19" s="167"/>
      <c r="N19" s="168"/>
    </row>
    <row r="20" spans="1:14" ht="13.5" hidden="1" thickBot="1" x14ac:dyDescent="0.25">
      <c r="A20" s="201" t="s">
        <v>50</v>
      </c>
      <c r="B20" s="202"/>
      <c r="C20" s="22" t="s">
        <v>57</v>
      </c>
      <c r="D20" s="26"/>
      <c r="E20" s="26"/>
      <c r="F20" s="30" t="s">
        <v>58</v>
      </c>
      <c r="G20" s="78"/>
      <c r="H20" s="78"/>
      <c r="I20" s="78"/>
      <c r="J20" s="78"/>
      <c r="K20" s="78"/>
      <c r="L20" s="78"/>
      <c r="M20" s="70"/>
      <c r="N20" s="169"/>
    </row>
    <row r="21" spans="1:14" ht="13.5" hidden="1" thickBot="1" x14ac:dyDescent="0.25">
      <c r="A21" s="203" t="s">
        <v>59</v>
      </c>
      <c r="B21" s="204"/>
      <c r="C21" s="30" t="s">
        <v>60</v>
      </c>
      <c r="D21" s="47"/>
      <c r="E21" s="47"/>
      <c r="F21" s="47" t="s">
        <v>61</v>
      </c>
      <c r="G21" s="47"/>
      <c r="H21" s="47"/>
      <c r="I21" s="47"/>
      <c r="J21" s="47"/>
      <c r="K21" s="47"/>
      <c r="L21" s="47"/>
      <c r="M21" s="24"/>
      <c r="N21" s="170"/>
    </row>
    <row r="22" spans="1:14" ht="13.5" thickBot="1" x14ac:dyDescent="0.25">
      <c r="A22" s="19" t="s">
        <v>62</v>
      </c>
      <c r="B22" s="18"/>
      <c r="C22" s="18"/>
      <c r="D22" s="18"/>
      <c r="E22" s="18"/>
      <c r="F22" s="18"/>
      <c r="G22" s="18"/>
      <c r="H22" s="18"/>
      <c r="I22" s="18"/>
      <c r="J22" s="18"/>
      <c r="K22" s="18"/>
      <c r="L22" s="18"/>
      <c r="M22" s="139"/>
      <c r="N22" s="17"/>
    </row>
    <row r="23" spans="1:14" ht="13.5" thickBot="1" x14ac:dyDescent="0.25">
      <c r="A23" s="30"/>
      <c r="B23" s="30"/>
      <c r="C23" s="30"/>
      <c r="D23" s="30"/>
      <c r="E23" s="30"/>
      <c r="F23" s="30"/>
    </row>
    <row r="24" spans="1:14" x14ac:dyDescent="0.2">
      <c r="A24" s="122" t="s">
        <v>63</v>
      </c>
      <c r="B24" s="123"/>
      <c r="C24" s="123"/>
      <c r="D24" s="123"/>
      <c r="E24" s="123"/>
      <c r="F24" s="124"/>
      <c r="G24" s="125"/>
      <c r="H24" s="125"/>
      <c r="I24" s="125"/>
      <c r="J24" s="125"/>
      <c r="K24" s="125"/>
      <c r="L24" s="125"/>
      <c r="M24" s="126"/>
      <c r="N24" s="127"/>
    </row>
    <row r="25" spans="1:14" s="58" customFormat="1" ht="11.25" x14ac:dyDescent="0.2">
      <c r="A25" s="205" t="s">
        <v>64</v>
      </c>
      <c r="B25" s="63"/>
      <c r="C25" s="63"/>
      <c r="D25" s="63"/>
      <c r="E25" s="63"/>
      <c r="F25" s="56"/>
      <c r="G25" s="15"/>
      <c r="H25" s="15"/>
      <c r="I25" s="15"/>
      <c r="J25" s="15"/>
      <c r="K25" s="15"/>
      <c r="L25" s="15"/>
      <c r="M25" s="14"/>
      <c r="N25" s="128"/>
    </row>
    <row r="26" spans="1:14" s="58" customFormat="1" ht="33.75" x14ac:dyDescent="0.2">
      <c r="A26" s="163" t="s">
        <v>65</v>
      </c>
      <c r="B26" s="164" t="s">
        <v>66</v>
      </c>
      <c r="C26" s="34" t="s">
        <v>67</v>
      </c>
      <c r="D26" s="34" t="s">
        <v>68</v>
      </c>
      <c r="E26" s="34" t="s">
        <v>284</v>
      </c>
      <c r="F26" s="34" t="s">
        <v>69</v>
      </c>
      <c r="G26" s="34" t="s">
        <v>37</v>
      </c>
      <c r="H26" s="34" t="s">
        <v>38</v>
      </c>
      <c r="I26" s="34" t="s">
        <v>39</v>
      </c>
      <c r="J26" s="34" t="s">
        <v>40</v>
      </c>
      <c r="K26" s="34" t="s">
        <v>41</v>
      </c>
      <c r="L26" s="34" t="s">
        <v>42</v>
      </c>
      <c r="M26" s="45" t="s">
        <v>43</v>
      </c>
      <c r="N26" s="129" t="s">
        <v>44</v>
      </c>
    </row>
    <row r="27" spans="1:14" hidden="1" outlineLevel="1" x14ac:dyDescent="0.2">
      <c r="A27" s="320" t="s">
        <v>70</v>
      </c>
      <c r="B27" s="321" t="s">
        <v>71</v>
      </c>
      <c r="C27" s="268" t="s">
        <v>55</v>
      </c>
      <c r="D27" s="269">
        <v>1</v>
      </c>
      <c r="E27" s="270">
        <v>0.03</v>
      </c>
      <c r="F27" s="342">
        <f>E27*D27</f>
        <v>0.03</v>
      </c>
      <c r="G27" s="271">
        <v>3129</v>
      </c>
      <c r="H27" s="271">
        <v>0</v>
      </c>
      <c r="I27" s="178">
        <f>G27-H27</f>
        <v>3129</v>
      </c>
      <c r="J27" s="313">
        <v>0</v>
      </c>
      <c r="K27" s="313">
        <v>0</v>
      </c>
      <c r="L27" s="175">
        <f>SUM(J27:K27)</f>
        <v>0</v>
      </c>
      <c r="M27" s="33" t="str">
        <f t="shared" ref="M27:M62" si="10">IFERROR(L27/H27,"N/A")</f>
        <v>N/A</v>
      </c>
      <c r="N27" s="324">
        <v>22716</v>
      </c>
    </row>
    <row r="28" spans="1:14" hidden="1" outlineLevel="1" x14ac:dyDescent="0.2">
      <c r="A28" s="320" t="s">
        <v>72</v>
      </c>
      <c r="B28" s="321" t="s">
        <v>73</v>
      </c>
      <c r="C28" s="268" t="s">
        <v>55</v>
      </c>
      <c r="D28" s="269">
        <v>1</v>
      </c>
      <c r="E28" s="270">
        <v>7.0000000000000007E-2</v>
      </c>
      <c r="F28" s="342">
        <f t="shared" ref="F28:F30" si="11">E28*D28</f>
        <v>7.0000000000000007E-2</v>
      </c>
      <c r="G28" s="271">
        <v>1201.43</v>
      </c>
      <c r="H28" s="271">
        <v>1201.43</v>
      </c>
      <c r="I28" s="182">
        <f>G28-H28</f>
        <v>0</v>
      </c>
      <c r="J28" s="313">
        <v>1201.43</v>
      </c>
      <c r="K28" s="313">
        <v>0</v>
      </c>
      <c r="L28" s="175">
        <f>SUM(J28:K28)</f>
        <v>1201.43</v>
      </c>
      <c r="M28" s="33">
        <f t="shared" si="10"/>
        <v>1</v>
      </c>
      <c r="N28" s="324">
        <f>4449+1201</f>
        <v>5650</v>
      </c>
    </row>
    <row r="29" spans="1:14" hidden="1" outlineLevel="1" x14ac:dyDescent="0.2">
      <c r="A29" s="320" t="s">
        <v>74</v>
      </c>
      <c r="B29" s="321" t="s">
        <v>73</v>
      </c>
      <c r="C29" s="268" t="s">
        <v>55</v>
      </c>
      <c r="D29" s="269">
        <v>1</v>
      </c>
      <c r="E29" s="270">
        <v>0.15</v>
      </c>
      <c r="F29" s="342">
        <f t="shared" si="11"/>
        <v>0.15</v>
      </c>
      <c r="G29" s="271">
        <v>9108</v>
      </c>
      <c r="H29" s="271">
        <v>9108</v>
      </c>
      <c r="I29" s="182">
        <f>G29-H29</f>
        <v>0</v>
      </c>
      <c r="J29" s="313">
        <v>1863.59</v>
      </c>
      <c r="K29" s="313">
        <f>3427.347+3817</f>
        <v>7244.3469999999998</v>
      </c>
      <c r="L29" s="175">
        <f>SUM(J29:K29)</f>
        <v>9107.9369999999999</v>
      </c>
      <c r="M29" s="33">
        <f t="shared" si="10"/>
        <v>0.99999308300395251</v>
      </c>
      <c r="N29" s="324">
        <f>7450+9108</f>
        <v>16558</v>
      </c>
    </row>
    <row r="30" spans="1:14" hidden="1" outlineLevel="1" x14ac:dyDescent="0.2">
      <c r="A30" s="320" t="s">
        <v>83</v>
      </c>
      <c r="B30" s="321" t="s">
        <v>84</v>
      </c>
      <c r="C30" s="268" t="s">
        <v>55</v>
      </c>
      <c r="D30" s="269">
        <v>1</v>
      </c>
      <c r="E30" s="270">
        <v>0.09</v>
      </c>
      <c r="F30" s="342">
        <f t="shared" si="11"/>
        <v>0.09</v>
      </c>
      <c r="G30" s="271">
        <v>0</v>
      </c>
      <c r="H30" s="271">
        <v>0</v>
      </c>
      <c r="I30" s="182">
        <f>G30-H30</f>
        <v>0</v>
      </c>
      <c r="J30" s="313">
        <v>0</v>
      </c>
      <c r="K30" s="313">
        <v>0</v>
      </c>
      <c r="L30" s="175">
        <f>SUM(J30:K30)</f>
        <v>0</v>
      </c>
      <c r="M30" s="33" t="str">
        <f t="shared" si="10"/>
        <v>N/A</v>
      </c>
      <c r="N30" s="324">
        <v>29405</v>
      </c>
    </row>
    <row r="31" spans="1:14" collapsed="1" x14ac:dyDescent="0.2">
      <c r="A31" s="281"/>
      <c r="B31" s="277"/>
      <c r="C31" s="268" t="s">
        <v>55</v>
      </c>
      <c r="D31" s="278"/>
      <c r="E31" s="342">
        <f>SUM(F27:F30)</f>
        <v>0.33999999999999997</v>
      </c>
      <c r="F31" s="275"/>
      <c r="G31" s="280">
        <f>SUM(G27:G30)</f>
        <v>13438.43</v>
      </c>
      <c r="H31" s="280">
        <f t="shared" ref="H31:L31" si="12">SUM(H27:H30)</f>
        <v>10309.43</v>
      </c>
      <c r="I31" s="182">
        <f t="shared" si="12"/>
        <v>3129</v>
      </c>
      <c r="J31" s="313">
        <f t="shared" si="12"/>
        <v>3065.02</v>
      </c>
      <c r="K31" s="315">
        <f t="shared" si="12"/>
        <v>7244.3469999999998</v>
      </c>
      <c r="L31" s="182">
        <f t="shared" si="12"/>
        <v>10309.367</v>
      </c>
      <c r="M31" s="31">
        <f t="shared" si="10"/>
        <v>0.99999388908989151</v>
      </c>
      <c r="N31" s="327">
        <f>SUM(N27:N30)</f>
        <v>74329</v>
      </c>
    </row>
    <row r="32" spans="1:14" hidden="1" outlineLevel="1" x14ac:dyDescent="0.2">
      <c r="A32" s="320" t="s">
        <v>75</v>
      </c>
      <c r="B32" s="321" t="s">
        <v>76</v>
      </c>
      <c r="C32" s="268" t="s">
        <v>60</v>
      </c>
      <c r="D32" s="269">
        <v>1</v>
      </c>
      <c r="E32" s="270">
        <v>0.89</v>
      </c>
      <c r="F32" s="342">
        <f t="shared" ref="F32:F44" si="13">E32*D32</f>
        <v>0.89</v>
      </c>
      <c r="G32" s="271">
        <v>44039</v>
      </c>
      <c r="H32" s="271">
        <v>44039</v>
      </c>
      <c r="I32" s="182">
        <f t="shared" ref="I32:I44" si="14">G32-H32</f>
        <v>0</v>
      </c>
      <c r="J32" s="313">
        <v>25519.57</v>
      </c>
      <c r="K32" s="313">
        <v>18518.950999999997</v>
      </c>
      <c r="L32" s="175">
        <f t="shared" ref="L32:L44" si="15">SUM(J32:K32)</f>
        <v>44038.520999999993</v>
      </c>
      <c r="M32" s="33">
        <f t="shared" si="10"/>
        <v>0.9999891232770951</v>
      </c>
      <c r="N32" s="324">
        <f>3167+44039</f>
        <v>47206</v>
      </c>
    </row>
    <row r="33" spans="1:14" hidden="1" outlineLevel="1" x14ac:dyDescent="0.2">
      <c r="A33" s="320" t="s">
        <v>77</v>
      </c>
      <c r="B33" s="321" t="s">
        <v>78</v>
      </c>
      <c r="C33" s="268" t="s">
        <v>60</v>
      </c>
      <c r="D33" s="269">
        <v>1</v>
      </c>
      <c r="E33" s="270">
        <v>0.89</v>
      </c>
      <c r="F33" s="342">
        <f t="shared" si="13"/>
        <v>0.89</v>
      </c>
      <c r="G33" s="271">
        <v>41579</v>
      </c>
      <c r="H33" s="271">
        <v>41579</v>
      </c>
      <c r="I33" s="182">
        <f t="shared" si="14"/>
        <v>0</v>
      </c>
      <c r="J33" s="313">
        <v>28072.34</v>
      </c>
      <c r="K33" s="313">
        <v>13507.076000000001</v>
      </c>
      <c r="L33" s="175">
        <f t="shared" si="15"/>
        <v>41579.415999999997</v>
      </c>
      <c r="M33" s="33">
        <f t="shared" si="10"/>
        <v>1.0000100050506264</v>
      </c>
      <c r="N33" s="324">
        <f>3174+41579</f>
        <v>44753</v>
      </c>
    </row>
    <row r="34" spans="1:14" hidden="1" outlineLevel="1" x14ac:dyDescent="0.2">
      <c r="A34" s="320" t="s">
        <v>269</v>
      </c>
      <c r="B34" s="321" t="s">
        <v>78</v>
      </c>
      <c r="C34" s="268" t="s">
        <v>60</v>
      </c>
      <c r="D34" s="269">
        <v>1</v>
      </c>
      <c r="E34" s="270">
        <v>0.8</v>
      </c>
      <c r="F34" s="342">
        <f t="shared" si="13"/>
        <v>0.8</v>
      </c>
      <c r="G34" s="271">
        <v>4324</v>
      </c>
      <c r="H34" s="271">
        <v>4324</v>
      </c>
      <c r="I34" s="182">
        <f t="shared" si="14"/>
        <v>0</v>
      </c>
      <c r="J34" s="313"/>
      <c r="K34" s="313">
        <v>4323.8500000000004</v>
      </c>
      <c r="L34" s="175">
        <f t="shared" si="15"/>
        <v>4323.8500000000004</v>
      </c>
      <c r="M34" s="33">
        <f t="shared" si="10"/>
        <v>0.9999653098982425</v>
      </c>
      <c r="N34" s="324">
        <f>1117+4324</f>
        <v>5441</v>
      </c>
    </row>
    <row r="35" spans="1:14" hidden="1" outlineLevel="1" x14ac:dyDescent="0.2">
      <c r="A35" s="320" t="s">
        <v>85</v>
      </c>
      <c r="B35" s="321" t="s">
        <v>86</v>
      </c>
      <c r="C35" s="272" t="s">
        <v>60</v>
      </c>
      <c r="D35" s="273">
        <v>1</v>
      </c>
      <c r="E35" s="274">
        <v>5.8973117656810549E-2</v>
      </c>
      <c r="F35" s="343">
        <f t="shared" si="13"/>
        <v>5.8973117656810549E-2</v>
      </c>
      <c r="G35" s="271">
        <v>3877.5945348588421</v>
      </c>
      <c r="H35" s="271">
        <v>0</v>
      </c>
      <c r="I35" s="182">
        <f t="shared" si="14"/>
        <v>3877.5945348588421</v>
      </c>
      <c r="J35" s="313">
        <v>0</v>
      </c>
      <c r="K35" s="313">
        <v>0</v>
      </c>
      <c r="L35" s="175">
        <f t="shared" si="15"/>
        <v>0</v>
      </c>
      <c r="M35" s="33" t="str">
        <f t="shared" si="10"/>
        <v>N/A</v>
      </c>
      <c r="N35" s="324">
        <v>26284</v>
      </c>
    </row>
    <row r="36" spans="1:14" hidden="1" outlineLevel="1" x14ac:dyDescent="0.2">
      <c r="A36" s="320" t="s">
        <v>279</v>
      </c>
      <c r="B36" s="321" t="s">
        <v>86</v>
      </c>
      <c r="C36" s="272" t="s">
        <v>60</v>
      </c>
      <c r="D36" s="273">
        <v>1</v>
      </c>
      <c r="E36" s="274">
        <v>0.33</v>
      </c>
      <c r="F36" s="343">
        <f t="shared" si="13"/>
        <v>0.33</v>
      </c>
      <c r="G36" s="271">
        <v>1816</v>
      </c>
      <c r="H36" s="271">
        <v>0</v>
      </c>
      <c r="I36" s="182">
        <f t="shared" si="14"/>
        <v>1816</v>
      </c>
      <c r="J36" s="313">
        <v>0</v>
      </c>
      <c r="K36" s="313">
        <v>0</v>
      </c>
      <c r="L36" s="175">
        <f t="shared" si="15"/>
        <v>0</v>
      </c>
      <c r="M36" s="33" t="str">
        <f t="shared" si="10"/>
        <v>N/A</v>
      </c>
      <c r="N36" s="324">
        <v>1816</v>
      </c>
    </row>
    <row r="37" spans="1:14" hidden="1" outlineLevel="1" x14ac:dyDescent="0.2">
      <c r="A37" s="276" t="s">
        <v>280</v>
      </c>
      <c r="B37" s="330" t="s">
        <v>86</v>
      </c>
      <c r="C37" s="335" t="s">
        <v>60</v>
      </c>
      <c r="D37" s="337">
        <v>1</v>
      </c>
      <c r="E37" s="339">
        <v>0.41</v>
      </c>
      <c r="F37" s="344">
        <f t="shared" si="13"/>
        <v>0.41</v>
      </c>
      <c r="G37" s="280">
        <v>9570</v>
      </c>
      <c r="H37" s="280">
        <v>0</v>
      </c>
      <c r="I37" s="182">
        <f t="shared" si="14"/>
        <v>9570</v>
      </c>
      <c r="J37" s="313">
        <v>0</v>
      </c>
      <c r="K37" s="315">
        <v>0</v>
      </c>
      <c r="L37" s="331">
        <f t="shared" si="15"/>
        <v>0</v>
      </c>
      <c r="M37" s="31" t="str">
        <f t="shared" si="10"/>
        <v>N/A</v>
      </c>
      <c r="N37" s="341">
        <v>9570</v>
      </c>
    </row>
    <row r="38" spans="1:14" hidden="1" outlineLevel="1" x14ac:dyDescent="0.2">
      <c r="A38" s="320" t="s">
        <v>87</v>
      </c>
      <c r="B38" s="321" t="s">
        <v>88</v>
      </c>
      <c r="C38" s="272" t="s">
        <v>60</v>
      </c>
      <c r="D38" s="269">
        <v>1</v>
      </c>
      <c r="E38" s="274">
        <v>6.7397848750640633E-3</v>
      </c>
      <c r="F38" s="343">
        <f t="shared" si="13"/>
        <v>6.7397848750640633E-3</v>
      </c>
      <c r="G38" s="271">
        <v>502.70370436884082</v>
      </c>
      <c r="H38" s="271">
        <v>0</v>
      </c>
      <c r="I38" s="182">
        <f t="shared" si="14"/>
        <v>502.70370436884082</v>
      </c>
      <c r="J38" s="313">
        <v>0</v>
      </c>
      <c r="K38" s="313">
        <v>0</v>
      </c>
      <c r="L38" s="175">
        <f t="shared" si="15"/>
        <v>0</v>
      </c>
      <c r="M38" s="33" t="str">
        <f t="shared" si="10"/>
        <v>N/A</v>
      </c>
      <c r="N38" s="324">
        <v>1520</v>
      </c>
    </row>
    <row r="39" spans="1:14" hidden="1" outlineLevel="1" x14ac:dyDescent="0.2">
      <c r="A39" s="320" t="s">
        <v>89</v>
      </c>
      <c r="B39" s="321" t="s">
        <v>90</v>
      </c>
      <c r="C39" s="272" t="s">
        <v>60</v>
      </c>
      <c r="D39" s="273">
        <v>1</v>
      </c>
      <c r="E39" s="274">
        <v>1.6849462187660158E-3</v>
      </c>
      <c r="F39" s="343">
        <f t="shared" si="13"/>
        <v>1.6849462187660158E-3</v>
      </c>
      <c r="G39" s="271">
        <v>8.813953670365029</v>
      </c>
      <c r="H39" s="271">
        <v>0</v>
      </c>
      <c r="I39" s="182">
        <f t="shared" si="14"/>
        <v>8.813953670365029</v>
      </c>
      <c r="J39" s="313">
        <v>0</v>
      </c>
      <c r="K39" s="313">
        <v>0</v>
      </c>
      <c r="L39" s="175">
        <f t="shared" si="15"/>
        <v>0</v>
      </c>
      <c r="M39" s="33" t="str">
        <f t="shared" si="10"/>
        <v>N/A</v>
      </c>
      <c r="N39" s="324">
        <v>409</v>
      </c>
    </row>
    <row r="40" spans="1:14" hidden="1" outlineLevel="1" x14ac:dyDescent="0.2">
      <c r="A40" s="320" t="s">
        <v>278</v>
      </c>
      <c r="B40" s="321" t="s">
        <v>86</v>
      </c>
      <c r="C40" s="272" t="s">
        <v>60</v>
      </c>
      <c r="D40" s="273">
        <v>1</v>
      </c>
      <c r="E40" s="274">
        <v>5.0548386562980475E-2</v>
      </c>
      <c r="F40" s="343">
        <f t="shared" si="13"/>
        <v>5.0548386562980475E-2</v>
      </c>
      <c r="G40" s="271">
        <v>2882.3802082715852</v>
      </c>
      <c r="H40" s="271">
        <v>0</v>
      </c>
      <c r="I40" s="182">
        <f t="shared" si="14"/>
        <v>2882.3802082715852</v>
      </c>
      <c r="J40" s="313">
        <v>0</v>
      </c>
      <c r="K40" s="313">
        <v>0</v>
      </c>
      <c r="L40" s="175">
        <f t="shared" si="15"/>
        <v>0</v>
      </c>
      <c r="M40" s="33" t="str">
        <f t="shared" si="10"/>
        <v>N/A</v>
      </c>
      <c r="N40" s="324">
        <v>29168</v>
      </c>
    </row>
    <row r="41" spans="1:14" hidden="1" outlineLevel="1" x14ac:dyDescent="0.2">
      <c r="A41" s="320" t="s">
        <v>91</v>
      </c>
      <c r="B41" s="321" t="s">
        <v>90</v>
      </c>
      <c r="C41" s="272" t="s">
        <v>60</v>
      </c>
      <c r="D41" s="273">
        <v>1</v>
      </c>
      <c r="E41" s="274">
        <v>1.6849462187660157E-2</v>
      </c>
      <c r="F41" s="343">
        <f t="shared" si="13"/>
        <v>1.6849462187660157E-2</v>
      </c>
      <c r="G41" s="271">
        <v>1143.8796588883104</v>
      </c>
      <c r="H41" s="271">
        <v>0</v>
      </c>
      <c r="I41" s="182">
        <f t="shared" si="14"/>
        <v>1143.8796588883104</v>
      </c>
      <c r="J41" s="313">
        <v>0</v>
      </c>
      <c r="K41" s="313">
        <v>0</v>
      </c>
      <c r="L41" s="175">
        <f t="shared" si="15"/>
        <v>0</v>
      </c>
      <c r="M41" s="33" t="str">
        <f t="shared" si="10"/>
        <v>N/A</v>
      </c>
      <c r="N41" s="324">
        <v>7721</v>
      </c>
    </row>
    <row r="42" spans="1:14" hidden="1" outlineLevel="1" x14ac:dyDescent="0.2">
      <c r="A42" s="320" t="s">
        <v>276</v>
      </c>
      <c r="B42" s="321" t="s">
        <v>92</v>
      </c>
      <c r="C42" s="272" t="s">
        <v>60</v>
      </c>
      <c r="D42" s="273">
        <v>1</v>
      </c>
      <c r="E42" s="274">
        <v>2.8644085719022272E-2</v>
      </c>
      <c r="F42" s="343">
        <f t="shared" si="13"/>
        <v>2.8644085719022272E-2</v>
      </c>
      <c r="G42" s="271">
        <v>1873.0965807576324</v>
      </c>
      <c r="H42" s="271">
        <v>0</v>
      </c>
      <c r="I42" s="182">
        <f t="shared" si="14"/>
        <v>1873.0965807576324</v>
      </c>
      <c r="J42" s="313">
        <v>0</v>
      </c>
      <c r="K42" s="313">
        <v>0</v>
      </c>
      <c r="L42" s="175">
        <f t="shared" si="15"/>
        <v>0</v>
      </c>
      <c r="M42" s="33" t="str">
        <f t="shared" si="10"/>
        <v>N/A</v>
      </c>
      <c r="N42" s="324">
        <v>0</v>
      </c>
    </row>
    <row r="43" spans="1:14" hidden="1" outlineLevel="1" x14ac:dyDescent="0.2">
      <c r="A43" s="320" t="s">
        <v>277</v>
      </c>
      <c r="B43" s="321" t="s">
        <v>93</v>
      </c>
      <c r="C43" s="272" t="s">
        <v>60</v>
      </c>
      <c r="D43" s="269">
        <v>1</v>
      </c>
      <c r="E43" s="274">
        <v>1.6849462187660157E-2</v>
      </c>
      <c r="F43" s="343">
        <f t="shared" si="13"/>
        <v>1.6849462187660157E-2</v>
      </c>
      <c r="G43" s="271">
        <v>1123.8523881320575</v>
      </c>
      <c r="H43" s="271">
        <v>0</v>
      </c>
      <c r="I43" s="182">
        <f t="shared" si="14"/>
        <v>1123.8523881320575</v>
      </c>
      <c r="J43" s="313">
        <v>0</v>
      </c>
      <c r="K43" s="313">
        <v>0</v>
      </c>
      <c r="L43" s="175">
        <f t="shared" si="15"/>
        <v>0</v>
      </c>
      <c r="M43" s="33" t="str">
        <f t="shared" si="10"/>
        <v>N/A</v>
      </c>
      <c r="N43" s="324">
        <v>149</v>
      </c>
    </row>
    <row r="44" spans="1:14" hidden="1" outlineLevel="1" x14ac:dyDescent="0.2">
      <c r="A44" s="320" t="s">
        <v>94</v>
      </c>
      <c r="B44" s="321" t="s">
        <v>95</v>
      </c>
      <c r="C44" s="272" t="s">
        <v>60</v>
      </c>
      <c r="D44" s="273">
        <v>1</v>
      </c>
      <c r="E44" s="274">
        <v>3.2013978156554303E-2</v>
      </c>
      <c r="F44" s="343">
        <f t="shared" si="13"/>
        <v>3.2013978156554303E-2</v>
      </c>
      <c r="G44" s="271">
        <v>2146.9820611987197</v>
      </c>
      <c r="H44" s="271">
        <v>0</v>
      </c>
      <c r="I44" s="182">
        <f t="shared" si="14"/>
        <v>2146.9820611987197</v>
      </c>
      <c r="J44" s="313">
        <v>0</v>
      </c>
      <c r="K44" s="313">
        <v>0</v>
      </c>
      <c r="L44" s="175">
        <f t="shared" si="15"/>
        <v>0</v>
      </c>
      <c r="M44" s="33" t="str">
        <f t="shared" si="10"/>
        <v>N/A</v>
      </c>
      <c r="N44" s="324">
        <v>7606</v>
      </c>
    </row>
    <row r="45" spans="1:14" collapsed="1" x14ac:dyDescent="0.2">
      <c r="A45" s="332"/>
      <c r="B45" s="333"/>
      <c r="C45" s="268" t="s">
        <v>60</v>
      </c>
      <c r="D45" s="338"/>
      <c r="E45" s="342">
        <f>SUM(F32:F45)</f>
        <v>3.5323032235645186</v>
      </c>
      <c r="F45" s="275"/>
      <c r="G45" s="271">
        <f>SUM(G32:G44)</f>
        <v>114887.30309014636</v>
      </c>
      <c r="H45" s="271">
        <f t="shared" ref="H45:L45" si="16">SUM(H32:H44)</f>
        <v>89942</v>
      </c>
      <c r="I45" s="182">
        <f t="shared" si="16"/>
        <v>24945.303090146353</v>
      </c>
      <c r="J45" s="313">
        <f t="shared" si="16"/>
        <v>53591.91</v>
      </c>
      <c r="K45" s="313">
        <f t="shared" si="16"/>
        <v>36349.877</v>
      </c>
      <c r="L45" s="178">
        <f t="shared" si="16"/>
        <v>89941.786999999997</v>
      </c>
      <c r="M45" s="33">
        <f t="shared" si="10"/>
        <v>0.99999763180716461</v>
      </c>
      <c r="N45" s="340">
        <f>SUM(N32:N44)</f>
        <v>181643</v>
      </c>
    </row>
    <row r="46" spans="1:14" hidden="1" outlineLevel="1" x14ac:dyDescent="0.2">
      <c r="A46" s="320" t="s">
        <v>79</v>
      </c>
      <c r="B46" s="321" t="s">
        <v>80</v>
      </c>
      <c r="C46" s="272" t="s">
        <v>57</v>
      </c>
      <c r="D46" s="273">
        <v>1</v>
      </c>
      <c r="E46" s="274">
        <v>0.08</v>
      </c>
      <c r="F46" s="343">
        <f t="shared" ref="F46:F58" si="17">E46*D46</f>
        <v>0.08</v>
      </c>
      <c r="G46" s="271">
        <v>3418</v>
      </c>
      <c r="H46" s="271">
        <v>1845</v>
      </c>
      <c r="I46" s="182">
        <f t="shared" ref="I46:I59" si="18">G46-H46</f>
        <v>1573</v>
      </c>
      <c r="J46" s="313">
        <v>914.07</v>
      </c>
      <c r="K46" s="313">
        <v>930.94700000000012</v>
      </c>
      <c r="L46" s="175">
        <f t="shared" ref="L46:L59" si="19">SUM(J46:K46)</f>
        <v>1845.0170000000003</v>
      </c>
      <c r="M46" s="33">
        <f t="shared" si="10"/>
        <v>1.0000092140921411</v>
      </c>
      <c r="N46" s="324">
        <f>13077+1845</f>
        <v>14922</v>
      </c>
    </row>
    <row r="47" spans="1:14" hidden="1" outlineLevel="1" x14ac:dyDescent="0.2">
      <c r="A47" s="320" t="s">
        <v>81</v>
      </c>
      <c r="B47" s="321" t="s">
        <v>82</v>
      </c>
      <c r="C47" s="272" t="s">
        <v>57</v>
      </c>
      <c r="D47" s="269">
        <v>1</v>
      </c>
      <c r="E47" s="274">
        <v>0.04</v>
      </c>
      <c r="F47" s="343">
        <f t="shared" si="17"/>
        <v>0.04</v>
      </c>
      <c r="G47" s="271">
        <v>1593</v>
      </c>
      <c r="H47" s="271">
        <v>1593</v>
      </c>
      <c r="I47" s="182">
        <f t="shared" si="18"/>
        <v>0</v>
      </c>
      <c r="J47" s="313">
        <v>1216.74</v>
      </c>
      <c r="K47" s="313">
        <v>376.31</v>
      </c>
      <c r="L47" s="175">
        <f t="shared" si="19"/>
        <v>1593.05</v>
      </c>
      <c r="M47" s="33">
        <f t="shared" si="10"/>
        <v>1.0000313873195228</v>
      </c>
      <c r="N47" s="324">
        <v>1593</v>
      </c>
    </row>
    <row r="48" spans="1:14" hidden="1" outlineLevel="1" x14ac:dyDescent="0.2">
      <c r="A48" s="320" t="s">
        <v>96</v>
      </c>
      <c r="B48" s="321" t="s">
        <v>97</v>
      </c>
      <c r="C48" s="272" t="s">
        <v>57</v>
      </c>
      <c r="D48" s="273">
        <v>1</v>
      </c>
      <c r="E48" s="274">
        <v>0.05</v>
      </c>
      <c r="F48" s="343">
        <f t="shared" si="17"/>
        <v>0.05</v>
      </c>
      <c r="G48" s="271">
        <v>1569.9528517007823</v>
      </c>
      <c r="H48" s="271">
        <v>0</v>
      </c>
      <c r="I48" s="182">
        <f t="shared" si="18"/>
        <v>1569.9528517007823</v>
      </c>
      <c r="J48" s="313">
        <v>0</v>
      </c>
      <c r="K48" s="313">
        <v>0</v>
      </c>
      <c r="L48" s="175">
        <f t="shared" si="19"/>
        <v>0</v>
      </c>
      <c r="M48" s="33" t="str">
        <f t="shared" si="10"/>
        <v>N/A</v>
      </c>
      <c r="N48" s="324">
        <v>11624</v>
      </c>
    </row>
    <row r="49" spans="1:14" hidden="1" outlineLevel="1" x14ac:dyDescent="0.2">
      <c r="A49" s="276" t="s">
        <v>98</v>
      </c>
      <c r="B49" s="330" t="s">
        <v>99</v>
      </c>
      <c r="C49" s="335" t="s">
        <v>57</v>
      </c>
      <c r="D49" s="337">
        <v>1</v>
      </c>
      <c r="E49" s="339">
        <v>9.2051189781054941E-3</v>
      </c>
      <c r="F49" s="344">
        <f t="shared" si="17"/>
        <v>9.2051189781054941E-3</v>
      </c>
      <c r="G49" s="280">
        <v>953.38479385351457</v>
      </c>
      <c r="H49" s="280">
        <v>0</v>
      </c>
      <c r="I49" s="182">
        <f t="shared" si="18"/>
        <v>953.38479385351457</v>
      </c>
      <c r="J49" s="313">
        <v>0</v>
      </c>
      <c r="K49" s="315">
        <v>0</v>
      </c>
      <c r="L49" s="331">
        <f t="shared" si="19"/>
        <v>0</v>
      </c>
      <c r="M49" s="31" t="str">
        <f t="shared" si="10"/>
        <v>N/A</v>
      </c>
      <c r="N49" s="341">
        <v>6998</v>
      </c>
    </row>
    <row r="50" spans="1:14" hidden="1" outlineLevel="1" x14ac:dyDescent="0.2">
      <c r="A50" s="320" t="s">
        <v>100</v>
      </c>
      <c r="B50" s="321" t="s">
        <v>101</v>
      </c>
      <c r="C50" s="272" t="s">
        <v>57</v>
      </c>
      <c r="D50" s="273">
        <v>1</v>
      </c>
      <c r="E50" s="274">
        <v>2.8323443009555366E-3</v>
      </c>
      <c r="F50" s="343">
        <f t="shared" si="17"/>
        <v>2.8323443009555366E-3</v>
      </c>
      <c r="G50" s="271">
        <v>244.50424603821244</v>
      </c>
      <c r="H50" s="271">
        <v>0</v>
      </c>
      <c r="I50" s="182">
        <f t="shared" si="18"/>
        <v>244.50424603821244</v>
      </c>
      <c r="J50" s="313">
        <v>0</v>
      </c>
      <c r="K50" s="313">
        <v>0</v>
      </c>
      <c r="L50" s="175">
        <f t="shared" si="19"/>
        <v>0</v>
      </c>
      <c r="M50" s="33" t="str">
        <f t="shared" si="10"/>
        <v>N/A</v>
      </c>
      <c r="N50" s="324">
        <v>1876</v>
      </c>
    </row>
    <row r="51" spans="1:14" hidden="1" outlineLevel="1" x14ac:dyDescent="0.2">
      <c r="A51" s="320" t="s">
        <v>102</v>
      </c>
      <c r="B51" s="321" t="s">
        <v>103</v>
      </c>
      <c r="C51" s="272" t="s">
        <v>57</v>
      </c>
      <c r="D51" s="269">
        <v>1</v>
      </c>
      <c r="E51" s="274">
        <v>7.7889468276277256E-3</v>
      </c>
      <c r="F51" s="343">
        <f t="shared" si="17"/>
        <v>7.7889468276277256E-3</v>
      </c>
      <c r="G51" s="271">
        <v>740.23813965725628</v>
      </c>
      <c r="H51" s="271">
        <v>0</v>
      </c>
      <c r="I51" s="182">
        <f t="shared" si="18"/>
        <v>740.23813965725628</v>
      </c>
      <c r="J51" s="313">
        <v>0</v>
      </c>
      <c r="K51" s="313">
        <v>0</v>
      </c>
      <c r="L51" s="175">
        <f t="shared" si="19"/>
        <v>0</v>
      </c>
      <c r="M51" s="33" t="str">
        <f t="shared" si="10"/>
        <v>N/A</v>
      </c>
      <c r="N51" s="324">
        <v>3539</v>
      </c>
    </row>
    <row r="52" spans="1:14" hidden="1" outlineLevel="1" x14ac:dyDescent="0.2">
      <c r="A52" s="320" t="s">
        <v>104</v>
      </c>
      <c r="B52" s="321" t="s">
        <v>105</v>
      </c>
      <c r="C52" s="272" t="s">
        <v>57</v>
      </c>
      <c r="D52" s="273">
        <v>1</v>
      </c>
      <c r="E52" s="274">
        <v>1.4161721504777685E-2</v>
      </c>
      <c r="F52" s="343">
        <f t="shared" si="17"/>
        <v>1.4161721504777685E-2</v>
      </c>
      <c r="G52" s="271">
        <v>508.96802236525849</v>
      </c>
      <c r="H52" s="271">
        <v>0</v>
      </c>
      <c r="I52" s="182">
        <f t="shared" si="18"/>
        <v>508.96802236525849</v>
      </c>
      <c r="J52" s="313">
        <v>0</v>
      </c>
      <c r="K52" s="313">
        <v>0</v>
      </c>
      <c r="L52" s="175">
        <f t="shared" si="19"/>
        <v>0</v>
      </c>
      <c r="M52" s="33" t="str">
        <f t="shared" si="10"/>
        <v>N/A</v>
      </c>
      <c r="N52" s="324">
        <v>4018</v>
      </c>
    </row>
    <row r="53" spans="1:14" hidden="1" outlineLevel="1" x14ac:dyDescent="0.2">
      <c r="A53" s="320" t="s">
        <v>106</v>
      </c>
      <c r="B53" s="321" t="s">
        <v>107</v>
      </c>
      <c r="C53" s="272" t="s">
        <v>57</v>
      </c>
      <c r="D53" s="273">
        <v>1</v>
      </c>
      <c r="E53" s="274">
        <v>3.5404303761944213E-3</v>
      </c>
      <c r="F53" s="343">
        <f t="shared" si="17"/>
        <v>3.5404303761944213E-3</v>
      </c>
      <c r="G53" s="271">
        <v>157.74033498096622</v>
      </c>
      <c r="H53" s="271">
        <v>0</v>
      </c>
      <c r="I53" s="182">
        <f t="shared" si="18"/>
        <v>157.74033498096622</v>
      </c>
      <c r="J53" s="313">
        <v>0</v>
      </c>
      <c r="K53" s="313">
        <v>0</v>
      </c>
      <c r="L53" s="175">
        <f t="shared" si="19"/>
        <v>0</v>
      </c>
      <c r="M53" s="33" t="str">
        <f t="shared" si="10"/>
        <v>N/A</v>
      </c>
      <c r="N53" s="324">
        <v>1321</v>
      </c>
    </row>
    <row r="54" spans="1:14" hidden="1" outlineLevel="1" x14ac:dyDescent="0.2">
      <c r="A54" s="320" t="s">
        <v>108</v>
      </c>
      <c r="B54" s="321" t="s">
        <v>109</v>
      </c>
      <c r="C54" s="272" t="s">
        <v>57</v>
      </c>
      <c r="D54" s="269">
        <v>1</v>
      </c>
      <c r="E54" s="274">
        <v>2.1242582257166524E-2</v>
      </c>
      <c r="F54" s="343">
        <f t="shared" si="17"/>
        <v>2.1242582257166524E-2</v>
      </c>
      <c r="G54" s="271">
        <v>798.3812115533467</v>
      </c>
      <c r="H54" s="271">
        <v>0</v>
      </c>
      <c r="I54" s="182">
        <f t="shared" si="18"/>
        <v>798.3812115533467</v>
      </c>
      <c r="J54" s="313">
        <v>0</v>
      </c>
      <c r="K54" s="313">
        <v>0</v>
      </c>
      <c r="L54" s="175">
        <f t="shared" si="19"/>
        <v>0</v>
      </c>
      <c r="M54" s="33" t="str">
        <f t="shared" si="10"/>
        <v>N/A</v>
      </c>
      <c r="N54" s="324">
        <v>4673</v>
      </c>
    </row>
    <row r="55" spans="1:14" hidden="1" outlineLevel="1" x14ac:dyDescent="0.2">
      <c r="A55" s="320" t="s">
        <v>110</v>
      </c>
      <c r="B55" s="321" t="s">
        <v>111</v>
      </c>
      <c r="C55" s="272" t="s">
        <v>57</v>
      </c>
      <c r="D55" s="273">
        <v>1</v>
      </c>
      <c r="E55" s="274">
        <v>1.0621291128583262E-2</v>
      </c>
      <c r="F55" s="343">
        <f t="shared" si="17"/>
        <v>1.0621291128583262E-2</v>
      </c>
      <c r="G55" s="271">
        <v>650.55408162572485</v>
      </c>
      <c r="H55" s="271">
        <v>0</v>
      </c>
      <c r="I55" s="182">
        <f t="shared" si="18"/>
        <v>650.55408162572485</v>
      </c>
      <c r="J55" s="313">
        <v>0</v>
      </c>
      <c r="K55" s="313">
        <v>0</v>
      </c>
      <c r="L55" s="175">
        <f t="shared" si="19"/>
        <v>0</v>
      </c>
      <c r="M55" s="33" t="str">
        <f t="shared" si="10"/>
        <v>N/A</v>
      </c>
      <c r="N55" s="324">
        <v>4982</v>
      </c>
    </row>
    <row r="56" spans="1:14" hidden="1" outlineLevel="1" x14ac:dyDescent="0.2">
      <c r="A56" s="320" t="s">
        <v>112</v>
      </c>
      <c r="B56" s="321" t="s">
        <v>113</v>
      </c>
      <c r="C56" s="272" t="s">
        <v>57</v>
      </c>
      <c r="D56" s="273">
        <v>1</v>
      </c>
      <c r="E56" s="274">
        <v>1.4161721504777685E-2</v>
      </c>
      <c r="F56" s="343">
        <f t="shared" si="17"/>
        <v>1.4161721504777685E-2</v>
      </c>
      <c r="G56" s="271">
        <v>833.86482095571762</v>
      </c>
      <c r="H56" s="271">
        <v>0</v>
      </c>
      <c r="I56" s="182">
        <f t="shared" si="18"/>
        <v>833.86482095571762</v>
      </c>
      <c r="J56" s="313">
        <v>0</v>
      </c>
      <c r="K56" s="313">
        <v>0</v>
      </c>
      <c r="L56" s="175">
        <f t="shared" si="19"/>
        <v>0</v>
      </c>
      <c r="M56" s="33" t="str">
        <f t="shared" si="10"/>
        <v>N/A</v>
      </c>
      <c r="N56" s="324">
        <v>6451</v>
      </c>
    </row>
    <row r="57" spans="1:14" hidden="1" outlineLevel="1" x14ac:dyDescent="0.2">
      <c r="A57" s="320" t="s">
        <v>114</v>
      </c>
      <c r="B57" s="321" t="s">
        <v>115</v>
      </c>
      <c r="C57" s="272" t="s">
        <v>57</v>
      </c>
      <c r="D57" s="269">
        <v>1</v>
      </c>
      <c r="E57" s="274">
        <v>7.0808607523888427E-3</v>
      </c>
      <c r="F57" s="343">
        <f t="shared" si="17"/>
        <v>7.0808607523888427E-3</v>
      </c>
      <c r="G57" s="271">
        <v>293</v>
      </c>
      <c r="H57" s="271">
        <v>0</v>
      </c>
      <c r="I57" s="182">
        <f t="shared" si="18"/>
        <v>293</v>
      </c>
      <c r="J57" s="313">
        <v>0</v>
      </c>
      <c r="K57" s="313">
        <v>0</v>
      </c>
      <c r="L57" s="175">
        <f t="shared" si="19"/>
        <v>0</v>
      </c>
      <c r="M57" s="33" t="str">
        <f t="shared" si="10"/>
        <v>N/A</v>
      </c>
      <c r="N57" s="324">
        <v>2197</v>
      </c>
    </row>
    <row r="58" spans="1:14" hidden="1" outlineLevel="1" x14ac:dyDescent="0.2">
      <c r="A58" s="320" t="s">
        <v>116</v>
      </c>
      <c r="B58" s="321" t="s">
        <v>117</v>
      </c>
      <c r="C58" s="272" t="s">
        <v>57</v>
      </c>
      <c r="D58" s="273">
        <v>1</v>
      </c>
      <c r="E58" s="274">
        <v>4.2123655469150395E-2</v>
      </c>
      <c r="F58" s="343">
        <f t="shared" si="17"/>
        <v>4.2123655469150395E-2</v>
      </c>
      <c r="G58" s="271">
        <v>1394.0739530204387</v>
      </c>
      <c r="H58" s="271">
        <v>0</v>
      </c>
      <c r="I58" s="182">
        <f t="shared" si="18"/>
        <v>1394.0739530204387</v>
      </c>
      <c r="J58" s="313">
        <v>0</v>
      </c>
      <c r="K58" s="313">
        <v>-70</v>
      </c>
      <c r="L58" s="175">
        <f t="shared" si="19"/>
        <v>-70</v>
      </c>
      <c r="M58" s="33" t="str">
        <f t="shared" si="10"/>
        <v>N/A</v>
      </c>
      <c r="N58" s="324">
        <v>7494</v>
      </c>
    </row>
    <row r="59" spans="1:14" hidden="1" outlineLevel="1" x14ac:dyDescent="0.2">
      <c r="A59" s="320" t="s">
        <v>281</v>
      </c>
      <c r="B59" s="321"/>
      <c r="C59" s="272" t="s">
        <v>57</v>
      </c>
      <c r="D59" s="273"/>
      <c r="E59" s="274"/>
      <c r="F59" s="275"/>
      <c r="G59" s="271">
        <v>0</v>
      </c>
      <c r="H59" s="271">
        <v>0</v>
      </c>
      <c r="I59" s="182">
        <f t="shared" si="18"/>
        <v>0</v>
      </c>
      <c r="J59" s="313">
        <v>0</v>
      </c>
      <c r="K59" s="313">
        <v>0</v>
      </c>
      <c r="L59" s="175">
        <f t="shared" si="19"/>
        <v>0</v>
      </c>
      <c r="M59" s="33" t="str">
        <f t="shared" si="10"/>
        <v>N/A</v>
      </c>
      <c r="N59" s="324">
        <f>-2005+13</f>
        <v>-1992</v>
      </c>
    </row>
    <row r="60" spans="1:14" collapsed="1" x14ac:dyDescent="0.2">
      <c r="A60" s="332"/>
      <c r="B60" s="333"/>
      <c r="C60" s="272" t="s">
        <v>57</v>
      </c>
      <c r="D60" s="336"/>
      <c r="E60" s="342">
        <f>SUM(F46:F59)</f>
        <v>0.30275867309972759</v>
      </c>
      <c r="F60" s="275"/>
      <c r="G60" s="271">
        <f>SUM(G46:G59)</f>
        <v>13155.662455751219</v>
      </c>
      <c r="H60" s="271">
        <f t="shared" ref="H60:L60" si="20">SUM(H46:H59)</f>
        <v>3438</v>
      </c>
      <c r="I60" s="182">
        <f t="shared" si="20"/>
        <v>9717.6624557512187</v>
      </c>
      <c r="J60" s="313">
        <f t="shared" si="20"/>
        <v>2130.81</v>
      </c>
      <c r="K60" s="313">
        <f t="shared" si="20"/>
        <v>1237.2570000000001</v>
      </c>
      <c r="L60" s="178">
        <f t="shared" si="20"/>
        <v>3368.067</v>
      </c>
      <c r="M60" s="33">
        <f t="shared" si="10"/>
        <v>0.97965881326352533</v>
      </c>
      <c r="N60" s="340">
        <f>SUM(N46:N59)</f>
        <v>69696</v>
      </c>
    </row>
    <row r="61" spans="1:14" x14ac:dyDescent="0.2">
      <c r="A61" s="332"/>
      <c r="B61" s="333"/>
      <c r="C61" s="334"/>
      <c r="D61" s="338"/>
      <c r="E61" s="338"/>
      <c r="F61" s="275"/>
      <c r="G61" s="271">
        <v>0</v>
      </c>
      <c r="H61" s="271">
        <v>0</v>
      </c>
      <c r="I61" s="182">
        <f>G61-H61</f>
        <v>0</v>
      </c>
      <c r="J61" s="313">
        <v>0</v>
      </c>
      <c r="K61" s="313">
        <v>0</v>
      </c>
      <c r="L61" s="178">
        <f>SUM(J61:K61)</f>
        <v>0</v>
      </c>
      <c r="M61" s="33" t="str">
        <f t="shared" si="10"/>
        <v>N/A</v>
      </c>
      <c r="N61" s="340">
        <v>0</v>
      </c>
    </row>
    <row r="62" spans="1:14" x14ac:dyDescent="0.2">
      <c r="A62" s="281"/>
      <c r="B62" s="277"/>
      <c r="C62" s="334"/>
      <c r="D62" s="278"/>
      <c r="E62" s="279"/>
      <c r="F62" s="275"/>
      <c r="G62" s="280">
        <v>0</v>
      </c>
      <c r="H62" s="280">
        <v>0</v>
      </c>
      <c r="I62" s="182">
        <f>G62-H62</f>
        <v>0</v>
      </c>
      <c r="J62" s="313">
        <v>0</v>
      </c>
      <c r="K62" s="315">
        <v>0</v>
      </c>
      <c r="L62" s="182">
        <f>SUM(J62:K62)</f>
        <v>0</v>
      </c>
      <c r="M62" s="31" t="str">
        <f t="shared" si="10"/>
        <v>N/A</v>
      </c>
      <c r="N62" s="327">
        <v>0</v>
      </c>
    </row>
    <row r="63" spans="1:14" ht="13.5" thickBot="1" x14ac:dyDescent="0.25">
      <c r="A63" s="130"/>
      <c r="B63" s="121"/>
      <c r="C63" s="131" t="s">
        <v>118</v>
      </c>
      <c r="D63" s="132"/>
      <c r="E63" s="345">
        <f>SUM(E60,E45,E31)</f>
        <v>4.1750618966642463</v>
      </c>
      <c r="F63" s="133"/>
      <c r="G63" s="176">
        <f t="shared" ref="G63:L63" si="21">SUM(G31,G45,G60)</f>
        <v>141481.39554589757</v>
      </c>
      <c r="H63" s="176">
        <f t="shared" si="21"/>
        <v>103689.43</v>
      </c>
      <c r="I63" s="176">
        <f t="shared" si="21"/>
        <v>37791.965545897576</v>
      </c>
      <c r="J63" s="176">
        <f t="shared" si="21"/>
        <v>58787.74</v>
      </c>
      <c r="K63" s="176">
        <f t="shared" si="21"/>
        <v>44831.481</v>
      </c>
      <c r="L63" s="176">
        <f t="shared" si="21"/>
        <v>103619.22099999999</v>
      </c>
      <c r="M63" s="134">
        <f t="shared" ref="M63" si="22">IFERROR(L63/H63,"N/A")</f>
        <v>0.99932289144611941</v>
      </c>
      <c r="N63" s="177">
        <f>SUM(N31,N45,N60)</f>
        <v>325668</v>
      </c>
    </row>
    <row r="64" spans="1:14" ht="13.5" thickBot="1" x14ac:dyDescent="0.25">
      <c r="A64" s="30"/>
      <c r="B64" s="30"/>
      <c r="C64" s="30"/>
      <c r="D64" s="30"/>
      <c r="E64" s="30"/>
      <c r="F64" s="30"/>
    </row>
    <row r="65" spans="1:14" x14ac:dyDescent="0.2">
      <c r="A65" s="12" t="s">
        <v>119</v>
      </c>
      <c r="B65" s="11"/>
      <c r="C65" s="11"/>
      <c r="D65" s="11"/>
      <c r="E65" s="11"/>
      <c r="F65" s="10"/>
      <c r="G65" s="9"/>
      <c r="H65" s="9"/>
      <c r="I65" s="9"/>
      <c r="J65" s="9"/>
      <c r="K65" s="9"/>
      <c r="L65" s="9"/>
      <c r="M65" s="8"/>
      <c r="N65" s="7"/>
    </row>
    <row r="66" spans="1:14" s="58" customFormat="1" ht="11.25" x14ac:dyDescent="0.2">
      <c r="A66" s="54" t="s">
        <v>120</v>
      </c>
      <c r="B66" s="63"/>
      <c r="C66" s="63"/>
      <c r="D66" s="63"/>
      <c r="E66" s="63"/>
      <c r="F66" s="56"/>
      <c r="G66" s="15"/>
      <c r="H66" s="15"/>
      <c r="I66" s="15"/>
      <c r="J66" s="15"/>
      <c r="K66" s="15"/>
      <c r="L66" s="15"/>
      <c r="M66" s="14"/>
      <c r="N66" s="13"/>
    </row>
    <row r="67" spans="1:14" ht="33.75" x14ac:dyDescent="0.2">
      <c r="A67" s="48" t="s">
        <v>121</v>
      </c>
      <c r="B67" s="49"/>
      <c r="C67" s="50"/>
      <c r="D67" s="50"/>
      <c r="E67" s="50"/>
      <c r="F67" s="50"/>
      <c r="G67" s="34" t="s">
        <v>37</v>
      </c>
      <c r="H67" s="34" t="s">
        <v>38</v>
      </c>
      <c r="I67" s="34" t="s">
        <v>39</v>
      </c>
      <c r="J67" s="34" t="s">
        <v>40</v>
      </c>
      <c r="K67" s="34" t="s">
        <v>41</v>
      </c>
      <c r="L67" s="34" t="s">
        <v>42</v>
      </c>
      <c r="M67" s="45" t="s">
        <v>43</v>
      </c>
      <c r="N67" s="46" t="s">
        <v>44</v>
      </c>
    </row>
    <row r="68" spans="1:14" x14ac:dyDescent="0.2">
      <c r="A68" s="276" t="s">
        <v>122</v>
      </c>
      <c r="B68" s="277"/>
      <c r="C68" s="277"/>
      <c r="D68" s="278"/>
      <c r="E68" s="279"/>
      <c r="F68" s="32"/>
      <c r="G68" s="280">
        <v>12714</v>
      </c>
      <c r="H68" s="280">
        <v>8091</v>
      </c>
      <c r="I68" s="178">
        <f t="shared" ref="I68" si="23">G68-H68</f>
        <v>4623</v>
      </c>
      <c r="J68" s="313">
        <v>4465.1899999999996</v>
      </c>
      <c r="K68" s="325">
        <f>3334+292</f>
        <v>3626</v>
      </c>
      <c r="L68" s="178">
        <f>SUM(J68:K68)</f>
        <v>8091.19</v>
      </c>
      <c r="M68" s="33">
        <f>IFERROR(L68/H68,"N/A")</f>
        <v>1.0000234828822148</v>
      </c>
      <c r="N68" s="328">
        <v>24884</v>
      </c>
    </row>
    <row r="69" spans="1:14" x14ac:dyDescent="0.2">
      <c r="A69" s="281" t="s">
        <v>123</v>
      </c>
      <c r="B69" s="277"/>
      <c r="C69" s="282"/>
      <c r="D69" s="278"/>
      <c r="E69" s="279"/>
      <c r="F69" s="32"/>
      <c r="G69" s="280">
        <v>1080</v>
      </c>
      <c r="H69" s="280">
        <v>673</v>
      </c>
      <c r="I69" s="182">
        <f t="shared" ref="I69:I75" si="24">G69-H69</f>
        <v>407</v>
      </c>
      <c r="J69" s="313">
        <v>381.9</v>
      </c>
      <c r="K69" s="326">
        <f>266+25</f>
        <v>291</v>
      </c>
      <c r="L69" s="182">
        <f t="shared" ref="L69:L75" si="25">SUM(J69:K69)</f>
        <v>672.9</v>
      </c>
      <c r="M69" s="31">
        <f t="shared" ref="M69:M75" si="26">IFERROR(L69/H69,"N/A")</f>
        <v>0.99985141158989599</v>
      </c>
      <c r="N69" s="327">
        <v>2112</v>
      </c>
    </row>
    <row r="70" spans="1:14" x14ac:dyDescent="0.2">
      <c r="A70" s="281" t="s">
        <v>124</v>
      </c>
      <c r="B70" s="277"/>
      <c r="C70" s="282"/>
      <c r="D70" s="278"/>
      <c r="E70" s="279"/>
      <c r="F70" s="32"/>
      <c r="G70" s="280">
        <v>1122</v>
      </c>
      <c r="H70" s="280">
        <v>895</v>
      </c>
      <c r="I70" s="182">
        <f t="shared" si="24"/>
        <v>227</v>
      </c>
      <c r="J70" s="313">
        <v>424.84</v>
      </c>
      <c r="K70" s="326">
        <f>288+103+79</f>
        <v>470</v>
      </c>
      <c r="L70" s="182">
        <f t="shared" si="25"/>
        <v>894.83999999999992</v>
      </c>
      <c r="M70" s="31">
        <f t="shared" si="26"/>
        <v>0.99982122905027926</v>
      </c>
      <c r="N70" s="327">
        <v>2615</v>
      </c>
    </row>
    <row r="71" spans="1:14" x14ac:dyDescent="0.2">
      <c r="A71" s="281" t="s">
        <v>125</v>
      </c>
      <c r="B71" s="277"/>
      <c r="C71" s="282"/>
      <c r="D71" s="278"/>
      <c r="E71" s="279"/>
      <c r="F71" s="32"/>
      <c r="G71" s="280">
        <v>24762</v>
      </c>
      <c r="H71" s="280">
        <v>15066</v>
      </c>
      <c r="I71" s="182">
        <f t="shared" si="24"/>
        <v>9696</v>
      </c>
      <c r="J71" s="313">
        <v>8386.32</v>
      </c>
      <c r="K71" s="326">
        <v>6680</v>
      </c>
      <c r="L71" s="182">
        <f t="shared" si="25"/>
        <v>15066.32</v>
      </c>
      <c r="M71" s="31">
        <f t="shared" si="26"/>
        <v>1.0000212398778707</v>
      </c>
      <c r="N71" s="327">
        <v>43130</v>
      </c>
    </row>
    <row r="72" spans="1:14" x14ac:dyDescent="0.2">
      <c r="A72" s="281" t="s">
        <v>126</v>
      </c>
      <c r="B72" s="277"/>
      <c r="C72" s="282"/>
      <c r="D72" s="278"/>
      <c r="E72" s="279"/>
      <c r="F72" s="32"/>
      <c r="G72" s="280">
        <v>4866</v>
      </c>
      <c r="H72" s="280">
        <v>3010</v>
      </c>
      <c r="I72" s="182">
        <f t="shared" si="24"/>
        <v>1856</v>
      </c>
      <c r="J72" s="313">
        <v>0</v>
      </c>
      <c r="K72" s="315">
        <f>2895+115</f>
        <v>3010</v>
      </c>
      <c r="L72" s="182">
        <f t="shared" si="25"/>
        <v>3010</v>
      </c>
      <c r="M72" s="31">
        <f t="shared" si="26"/>
        <v>1</v>
      </c>
      <c r="N72" s="327">
        <v>9195</v>
      </c>
    </row>
    <row r="73" spans="1:14" x14ac:dyDescent="0.2">
      <c r="A73" s="281" t="s">
        <v>127</v>
      </c>
      <c r="B73" s="277"/>
      <c r="C73" s="282"/>
      <c r="D73" s="278"/>
      <c r="E73" s="279"/>
      <c r="F73" s="32"/>
      <c r="G73" s="280">
        <v>670</v>
      </c>
      <c r="H73" s="280">
        <v>411</v>
      </c>
      <c r="I73" s="182">
        <f t="shared" si="24"/>
        <v>259</v>
      </c>
      <c r="J73" s="313">
        <v>0</v>
      </c>
      <c r="K73" s="315">
        <f>397+14</f>
        <v>411</v>
      </c>
      <c r="L73" s="182">
        <f t="shared" si="25"/>
        <v>411</v>
      </c>
      <c r="M73" s="31">
        <f t="shared" si="26"/>
        <v>1</v>
      </c>
      <c r="N73" s="327">
        <v>1348</v>
      </c>
    </row>
    <row r="74" spans="1:14" x14ac:dyDescent="0.2">
      <c r="A74" s="281"/>
      <c r="B74" s="277"/>
      <c r="C74" s="282"/>
      <c r="D74" s="278"/>
      <c r="E74" s="279"/>
      <c r="F74" s="32"/>
      <c r="G74" s="280">
        <v>0</v>
      </c>
      <c r="H74" s="280">
        <v>0</v>
      </c>
      <c r="I74" s="182">
        <f t="shared" si="24"/>
        <v>0</v>
      </c>
      <c r="J74" s="313">
        <v>0</v>
      </c>
      <c r="K74" s="315">
        <v>0</v>
      </c>
      <c r="L74" s="182">
        <f t="shared" si="25"/>
        <v>0</v>
      </c>
      <c r="M74" s="31" t="str">
        <f t="shared" si="26"/>
        <v>N/A</v>
      </c>
      <c r="N74" s="327">
        <v>0</v>
      </c>
    </row>
    <row r="75" spans="1:14" x14ac:dyDescent="0.2">
      <c r="A75" s="283"/>
      <c r="B75" s="277"/>
      <c r="C75" s="284"/>
      <c r="D75" s="285"/>
      <c r="E75" s="286"/>
      <c r="F75" s="32"/>
      <c r="G75" s="280">
        <v>0</v>
      </c>
      <c r="H75" s="280">
        <v>0</v>
      </c>
      <c r="I75" s="182">
        <f t="shared" si="24"/>
        <v>0</v>
      </c>
      <c r="J75" s="313">
        <v>0</v>
      </c>
      <c r="K75" s="315">
        <v>0</v>
      </c>
      <c r="L75" s="182">
        <f t="shared" si="25"/>
        <v>0</v>
      </c>
      <c r="M75" s="31" t="str">
        <f t="shared" si="26"/>
        <v>N/A</v>
      </c>
      <c r="N75" s="327">
        <v>0</v>
      </c>
    </row>
    <row r="76" spans="1:14" ht="13.5" thickBot="1" x14ac:dyDescent="0.25">
      <c r="A76" s="51"/>
      <c r="B76" s="47"/>
      <c r="C76" s="171" t="s">
        <v>128</v>
      </c>
      <c r="D76" s="172"/>
      <c r="E76" s="172"/>
      <c r="F76" s="52"/>
      <c r="G76" s="183">
        <f t="shared" ref="G76:L76" si="27">SUM(G68:G75)</f>
        <v>45214</v>
      </c>
      <c r="H76" s="183">
        <f t="shared" si="27"/>
        <v>28146</v>
      </c>
      <c r="I76" s="183">
        <f t="shared" si="27"/>
        <v>17068</v>
      </c>
      <c r="J76" s="183">
        <f t="shared" si="27"/>
        <v>13658.25</v>
      </c>
      <c r="K76" s="183">
        <f t="shared" si="27"/>
        <v>14488</v>
      </c>
      <c r="L76" s="183">
        <f t="shared" si="27"/>
        <v>28146.25</v>
      </c>
      <c r="M76" s="53">
        <f>IFERROR(L76/H76,"N/A")</f>
        <v>1.0000088822568038</v>
      </c>
      <c r="N76" s="184">
        <f>SUM(N68:N75)</f>
        <v>83284</v>
      </c>
    </row>
    <row r="77" spans="1:14" ht="13.5" thickBot="1" x14ac:dyDescent="0.25">
      <c r="A77" s="30"/>
      <c r="B77" s="30"/>
      <c r="C77" s="30"/>
      <c r="D77" s="30"/>
      <c r="E77" s="30"/>
      <c r="F77" s="30"/>
    </row>
    <row r="78" spans="1:14" s="58" customFormat="1" x14ac:dyDescent="0.2">
      <c r="A78" s="12" t="s">
        <v>129</v>
      </c>
      <c r="B78" s="11"/>
      <c r="C78" s="11"/>
      <c r="D78" s="11"/>
      <c r="E78" s="11"/>
      <c r="F78" s="10"/>
      <c r="G78" s="9"/>
      <c r="H78" s="9"/>
      <c r="I78" s="9"/>
      <c r="J78" s="9"/>
      <c r="K78" s="9"/>
      <c r="L78" s="9"/>
      <c r="M78" s="8"/>
      <c r="N78" s="7"/>
    </row>
    <row r="79" spans="1:14" s="58" customFormat="1" ht="11.25" x14ac:dyDescent="0.2">
      <c r="A79" s="62" t="s">
        <v>130</v>
      </c>
      <c r="B79" s="63"/>
      <c r="C79" s="63"/>
      <c r="D79" s="63"/>
      <c r="E79" s="63"/>
      <c r="F79" s="56"/>
      <c r="G79" s="15"/>
      <c r="H79" s="15"/>
      <c r="I79" s="15"/>
      <c r="J79" s="15"/>
      <c r="K79" s="15"/>
      <c r="L79" s="15"/>
      <c r="M79" s="14"/>
      <c r="N79" s="13"/>
    </row>
    <row r="80" spans="1:14" ht="33.75" x14ac:dyDescent="0.2">
      <c r="A80" s="48" t="s">
        <v>121</v>
      </c>
      <c r="B80" s="49"/>
      <c r="C80" s="50"/>
      <c r="D80" s="50"/>
      <c r="E80" s="50"/>
      <c r="F80" s="50"/>
      <c r="G80" s="34" t="s">
        <v>37</v>
      </c>
      <c r="H80" s="34" t="s">
        <v>38</v>
      </c>
      <c r="I80" s="34" t="s">
        <v>39</v>
      </c>
      <c r="J80" s="34" t="s">
        <v>40</v>
      </c>
      <c r="K80" s="34" t="s">
        <v>41</v>
      </c>
      <c r="L80" s="34" t="s">
        <v>42</v>
      </c>
      <c r="M80" s="45" t="s">
        <v>43</v>
      </c>
      <c r="N80" s="46" t="s">
        <v>44</v>
      </c>
    </row>
    <row r="81" spans="1:14" x14ac:dyDescent="0.2">
      <c r="A81" s="287"/>
      <c r="B81" s="288"/>
      <c r="C81" s="289"/>
      <c r="D81" s="290"/>
      <c r="E81" s="291"/>
      <c r="F81" s="32"/>
      <c r="G81" s="271">
        <v>0</v>
      </c>
      <c r="H81" s="271">
        <v>0</v>
      </c>
      <c r="I81" s="178">
        <f>G81-H81</f>
        <v>0</v>
      </c>
      <c r="J81" s="313">
        <v>0</v>
      </c>
      <c r="K81" s="313">
        <v>0</v>
      </c>
      <c r="L81" s="178">
        <f>SUM(J81:K81)</f>
        <v>0</v>
      </c>
      <c r="M81" s="33" t="str">
        <f>IFERROR(L81/H81,"N/A")</f>
        <v>N/A</v>
      </c>
      <c r="N81" s="328">
        <v>0</v>
      </c>
    </row>
    <row r="82" spans="1:14" x14ac:dyDescent="0.2">
      <c r="A82" s="287"/>
      <c r="B82" s="288"/>
      <c r="C82" s="289"/>
      <c r="D82" s="290"/>
      <c r="E82" s="291"/>
      <c r="F82" s="32"/>
      <c r="G82" s="271">
        <v>0</v>
      </c>
      <c r="H82" s="271">
        <v>0</v>
      </c>
      <c r="I82" s="182">
        <f t="shared" ref="I82:I83" si="28">G82-H82</f>
        <v>0</v>
      </c>
      <c r="J82" s="313">
        <v>0</v>
      </c>
      <c r="K82" s="315">
        <v>0</v>
      </c>
      <c r="L82" s="182">
        <f t="shared" ref="L82:L83" si="29">SUM(J82:K82)</f>
        <v>0</v>
      </c>
      <c r="M82" s="31" t="str">
        <f t="shared" ref="M82:M83" si="30">IFERROR(L82/H82,"N/A")</f>
        <v>N/A</v>
      </c>
      <c r="N82" s="327">
        <v>0</v>
      </c>
    </row>
    <row r="83" spans="1:14" x14ac:dyDescent="0.2">
      <c r="A83" s="287"/>
      <c r="B83" s="288"/>
      <c r="C83" s="289"/>
      <c r="D83" s="290"/>
      <c r="E83" s="291"/>
      <c r="F83" s="32"/>
      <c r="G83" s="280">
        <v>0</v>
      </c>
      <c r="H83" s="280">
        <v>0</v>
      </c>
      <c r="I83" s="185">
        <f t="shared" si="28"/>
        <v>0</v>
      </c>
      <c r="J83" s="314">
        <v>0</v>
      </c>
      <c r="K83" s="314">
        <v>0</v>
      </c>
      <c r="L83" s="182">
        <f t="shared" si="29"/>
        <v>0</v>
      </c>
      <c r="M83" s="31" t="str">
        <f t="shared" si="30"/>
        <v>N/A</v>
      </c>
      <c r="N83" s="327">
        <v>0</v>
      </c>
    </row>
    <row r="84" spans="1:14" ht="13.5" thickBot="1" x14ac:dyDescent="0.25">
      <c r="A84" s="51"/>
      <c r="B84" s="47"/>
      <c r="C84" s="171" t="s">
        <v>131</v>
      </c>
      <c r="D84" s="172"/>
      <c r="E84" s="172"/>
      <c r="F84" s="52"/>
      <c r="G84" s="183">
        <f t="shared" ref="G84:L84" si="31">SUM(G81:G83)</f>
        <v>0</v>
      </c>
      <c r="H84" s="183">
        <f t="shared" si="31"/>
        <v>0</v>
      </c>
      <c r="I84" s="183">
        <f t="shared" si="31"/>
        <v>0</v>
      </c>
      <c r="J84" s="183">
        <f t="shared" si="31"/>
        <v>0</v>
      </c>
      <c r="K84" s="183">
        <f t="shared" si="31"/>
        <v>0</v>
      </c>
      <c r="L84" s="183">
        <f t="shared" si="31"/>
        <v>0</v>
      </c>
      <c r="M84" s="53" t="str">
        <f>IFERROR(L84/H84,"N/A")</f>
        <v>N/A</v>
      </c>
      <c r="N84" s="184">
        <f>SUM(N81:N83)</f>
        <v>0</v>
      </c>
    </row>
    <row r="85" spans="1:14" ht="13.5" thickBot="1" x14ac:dyDescent="0.25">
      <c r="A85" s="30"/>
      <c r="B85" s="30"/>
      <c r="C85" s="30"/>
      <c r="D85" s="30"/>
      <c r="E85" s="30"/>
      <c r="F85" s="30"/>
    </row>
    <row r="86" spans="1:14" s="58" customFormat="1" x14ac:dyDescent="0.2">
      <c r="A86" s="16" t="s">
        <v>132</v>
      </c>
      <c r="B86" s="11"/>
      <c r="C86" s="11"/>
      <c r="D86" s="11"/>
      <c r="E86" s="11"/>
      <c r="F86" s="10"/>
      <c r="G86" s="9"/>
      <c r="H86" s="9"/>
      <c r="I86" s="9"/>
      <c r="J86" s="9"/>
      <c r="K86" s="9"/>
      <c r="L86" s="9"/>
      <c r="M86" s="8"/>
      <c r="N86" s="7"/>
    </row>
    <row r="87" spans="1:14" x14ac:dyDescent="0.2">
      <c r="A87" s="62" t="s">
        <v>133</v>
      </c>
      <c r="B87" s="63"/>
      <c r="C87" s="63"/>
      <c r="D87" s="63"/>
      <c r="E87" s="63"/>
      <c r="F87" s="56"/>
      <c r="G87" s="15"/>
      <c r="H87" s="15"/>
      <c r="I87" s="15"/>
      <c r="J87" s="15"/>
      <c r="K87" s="15"/>
      <c r="L87" s="15"/>
      <c r="M87" s="14"/>
      <c r="N87" s="13"/>
    </row>
    <row r="88" spans="1:14" ht="33.75" x14ac:dyDescent="0.2">
      <c r="A88" s="48" t="s">
        <v>121</v>
      </c>
      <c r="B88" s="49"/>
      <c r="C88" s="50"/>
      <c r="D88" s="50"/>
      <c r="E88" s="50"/>
      <c r="F88" s="50"/>
      <c r="G88" s="34" t="s">
        <v>37</v>
      </c>
      <c r="H88" s="34" t="s">
        <v>38</v>
      </c>
      <c r="I88" s="34" t="s">
        <v>39</v>
      </c>
      <c r="J88" s="34" t="s">
        <v>40</v>
      </c>
      <c r="K88" s="34" t="s">
        <v>41</v>
      </c>
      <c r="L88" s="34" t="s">
        <v>42</v>
      </c>
      <c r="M88" s="45" t="s">
        <v>43</v>
      </c>
      <c r="N88" s="46" t="s">
        <v>44</v>
      </c>
    </row>
    <row r="89" spans="1:14" x14ac:dyDescent="0.2">
      <c r="A89" s="292" t="s">
        <v>134</v>
      </c>
      <c r="B89" s="288"/>
      <c r="C89" s="289"/>
      <c r="D89" s="290"/>
      <c r="E89" s="291"/>
      <c r="F89" s="32"/>
      <c r="G89" s="280">
        <v>3209</v>
      </c>
      <c r="H89" s="271">
        <v>1514</v>
      </c>
      <c r="I89" s="178">
        <f t="shared" ref="I89:I104" si="32">G89-H89</f>
        <v>1695</v>
      </c>
      <c r="J89" s="313">
        <v>0</v>
      </c>
      <c r="K89" s="313">
        <v>1514</v>
      </c>
      <c r="L89" s="178">
        <f>SUM(J89:K89)</f>
        <v>1514</v>
      </c>
      <c r="M89" s="33">
        <f>IFERROR(L89/H89,"N/A")</f>
        <v>1</v>
      </c>
      <c r="N89" s="328">
        <v>6652</v>
      </c>
    </row>
    <row r="90" spans="1:14" x14ac:dyDescent="0.2">
      <c r="A90" s="287" t="s">
        <v>135</v>
      </c>
      <c r="B90" s="288"/>
      <c r="C90" s="289"/>
      <c r="D90" s="290"/>
      <c r="E90" s="291"/>
      <c r="F90" s="32"/>
      <c r="G90" s="280">
        <v>2263</v>
      </c>
      <c r="H90" s="271">
        <v>1325</v>
      </c>
      <c r="I90" s="182">
        <f t="shared" si="32"/>
        <v>938</v>
      </c>
      <c r="J90" s="313">
        <v>0</v>
      </c>
      <c r="K90" s="315">
        <v>1325</v>
      </c>
      <c r="L90" s="182">
        <f>SUM(J90:K90)</f>
        <v>1325</v>
      </c>
      <c r="M90" s="31">
        <f>IFERROR(L90/H90,"N/A")</f>
        <v>1</v>
      </c>
      <c r="N90" s="327">
        <v>6360</v>
      </c>
    </row>
    <row r="91" spans="1:14" x14ac:dyDescent="0.2">
      <c r="A91" s="287" t="s">
        <v>136</v>
      </c>
      <c r="B91" s="288"/>
      <c r="C91" s="289"/>
      <c r="D91" s="290"/>
      <c r="E91" s="291"/>
      <c r="F91" s="32"/>
      <c r="G91" s="280">
        <v>3478</v>
      </c>
      <c r="H91" s="271">
        <v>1542</v>
      </c>
      <c r="I91" s="178">
        <f t="shared" si="32"/>
        <v>1936</v>
      </c>
      <c r="J91" s="313">
        <v>0</v>
      </c>
      <c r="K91" s="313">
        <v>1542</v>
      </c>
      <c r="L91" s="178">
        <f t="shared" ref="L91:L101" si="33">SUM(J91:K91)</f>
        <v>1542</v>
      </c>
      <c r="M91" s="33">
        <f t="shared" ref="M91:M101" si="34">IFERROR(L91/H91,"N/A")</f>
        <v>1</v>
      </c>
      <c r="N91" s="328">
        <v>8761</v>
      </c>
    </row>
    <row r="92" spans="1:14" x14ac:dyDescent="0.2">
      <c r="A92" s="287" t="s">
        <v>137</v>
      </c>
      <c r="B92" s="288"/>
      <c r="C92" s="289"/>
      <c r="D92" s="290"/>
      <c r="E92" s="291"/>
      <c r="F92" s="32"/>
      <c r="G92" s="280">
        <v>569</v>
      </c>
      <c r="H92" s="271">
        <v>562</v>
      </c>
      <c r="I92" s="178">
        <f t="shared" si="32"/>
        <v>7</v>
      </c>
      <c r="J92" s="313">
        <v>0</v>
      </c>
      <c r="K92" s="313">
        <v>562</v>
      </c>
      <c r="L92" s="178">
        <f t="shared" si="33"/>
        <v>562</v>
      </c>
      <c r="M92" s="33">
        <f t="shared" si="34"/>
        <v>1</v>
      </c>
      <c r="N92" s="328">
        <v>2594</v>
      </c>
    </row>
    <row r="93" spans="1:14" x14ac:dyDescent="0.2">
      <c r="A93" s="287" t="s">
        <v>138</v>
      </c>
      <c r="B93" s="288"/>
      <c r="C93" s="289"/>
      <c r="D93" s="290"/>
      <c r="E93" s="291"/>
      <c r="F93" s="32"/>
      <c r="G93" s="280">
        <v>369</v>
      </c>
      <c r="H93" s="271">
        <v>356</v>
      </c>
      <c r="I93" s="178">
        <f t="shared" si="32"/>
        <v>13</v>
      </c>
      <c r="J93" s="313">
        <v>0</v>
      </c>
      <c r="K93" s="313">
        <v>356</v>
      </c>
      <c r="L93" s="178">
        <f t="shared" si="33"/>
        <v>356</v>
      </c>
      <c r="M93" s="33">
        <f t="shared" si="34"/>
        <v>1</v>
      </c>
      <c r="N93" s="328">
        <v>958</v>
      </c>
    </row>
    <row r="94" spans="1:14" x14ac:dyDescent="0.2">
      <c r="A94" s="287" t="s">
        <v>139</v>
      </c>
      <c r="B94" s="288"/>
      <c r="C94" s="289"/>
      <c r="D94" s="290"/>
      <c r="E94" s="291"/>
      <c r="F94" s="32"/>
      <c r="G94" s="280">
        <v>1449</v>
      </c>
      <c r="H94" s="280">
        <v>0</v>
      </c>
      <c r="I94" s="185">
        <f t="shared" si="32"/>
        <v>1449</v>
      </c>
      <c r="J94" s="314">
        <v>0</v>
      </c>
      <c r="K94" s="314">
        <v>0</v>
      </c>
      <c r="L94" s="182">
        <f t="shared" si="33"/>
        <v>0</v>
      </c>
      <c r="M94" s="31" t="str">
        <f t="shared" si="34"/>
        <v>N/A</v>
      </c>
      <c r="N94" s="327">
        <v>10374</v>
      </c>
    </row>
    <row r="95" spans="1:14" x14ac:dyDescent="0.2">
      <c r="A95" s="287" t="s">
        <v>140</v>
      </c>
      <c r="B95" s="288"/>
      <c r="C95" s="289"/>
      <c r="D95" s="290"/>
      <c r="E95" s="291"/>
      <c r="F95" s="32"/>
      <c r="G95" s="280">
        <v>542</v>
      </c>
      <c r="H95" s="280">
        <v>61</v>
      </c>
      <c r="I95" s="185">
        <f t="shared" si="32"/>
        <v>481</v>
      </c>
      <c r="J95" s="314">
        <v>0</v>
      </c>
      <c r="K95" s="314">
        <v>61</v>
      </c>
      <c r="L95" s="182">
        <f t="shared" si="33"/>
        <v>61</v>
      </c>
      <c r="M95" s="31">
        <f t="shared" si="34"/>
        <v>1</v>
      </c>
      <c r="N95" s="327">
        <v>1039</v>
      </c>
    </row>
    <row r="96" spans="1:14" x14ac:dyDescent="0.2">
      <c r="A96" s="287" t="s">
        <v>141</v>
      </c>
      <c r="B96" s="288"/>
      <c r="C96" s="289"/>
      <c r="D96" s="290"/>
      <c r="E96" s="291"/>
      <c r="F96" s="32"/>
      <c r="G96" s="280">
        <v>787</v>
      </c>
      <c r="H96" s="280">
        <v>305</v>
      </c>
      <c r="I96" s="185">
        <f t="shared" si="32"/>
        <v>482</v>
      </c>
      <c r="J96" s="314">
        <v>0</v>
      </c>
      <c r="K96" s="314">
        <v>305</v>
      </c>
      <c r="L96" s="182">
        <f t="shared" si="33"/>
        <v>305</v>
      </c>
      <c r="M96" s="31">
        <f t="shared" si="34"/>
        <v>1</v>
      </c>
      <c r="N96" s="327">
        <v>946</v>
      </c>
    </row>
    <row r="97" spans="1:14" x14ac:dyDescent="0.2">
      <c r="A97" s="287" t="s">
        <v>142</v>
      </c>
      <c r="B97" s="288"/>
      <c r="C97" s="289"/>
      <c r="D97" s="290"/>
      <c r="E97" s="291"/>
      <c r="F97" s="32"/>
      <c r="G97" s="280">
        <v>121</v>
      </c>
      <c r="H97" s="280">
        <v>44</v>
      </c>
      <c r="I97" s="185">
        <f t="shared" si="32"/>
        <v>77</v>
      </c>
      <c r="J97" s="314">
        <v>0</v>
      </c>
      <c r="K97" s="314">
        <v>44</v>
      </c>
      <c r="L97" s="182">
        <f t="shared" si="33"/>
        <v>44</v>
      </c>
      <c r="M97" s="31">
        <f t="shared" si="34"/>
        <v>1</v>
      </c>
      <c r="N97" s="327">
        <v>49</v>
      </c>
    </row>
    <row r="98" spans="1:14" x14ac:dyDescent="0.2">
      <c r="A98" s="287" t="s">
        <v>143</v>
      </c>
      <c r="B98" s="288"/>
      <c r="C98" s="289"/>
      <c r="D98" s="290"/>
      <c r="E98" s="291"/>
      <c r="F98" s="32"/>
      <c r="G98" s="280">
        <v>0</v>
      </c>
      <c r="H98" s="280">
        <v>0</v>
      </c>
      <c r="I98" s="185">
        <f t="shared" si="32"/>
        <v>0</v>
      </c>
      <c r="J98" s="314">
        <v>0</v>
      </c>
      <c r="K98" s="314">
        <v>0</v>
      </c>
      <c r="L98" s="182">
        <f t="shared" si="33"/>
        <v>0</v>
      </c>
      <c r="M98" s="31" t="str">
        <f t="shared" si="34"/>
        <v>N/A</v>
      </c>
      <c r="N98" s="327">
        <v>0</v>
      </c>
    </row>
    <row r="99" spans="1:14" x14ac:dyDescent="0.2">
      <c r="A99" s="287" t="s">
        <v>144</v>
      </c>
      <c r="B99" s="288"/>
      <c r="C99" s="289"/>
      <c r="D99" s="290"/>
      <c r="E99" s="291"/>
      <c r="F99" s="32"/>
      <c r="G99" s="280">
        <v>1321</v>
      </c>
      <c r="H99" s="280">
        <v>0</v>
      </c>
      <c r="I99" s="185">
        <f t="shared" si="32"/>
        <v>1321</v>
      </c>
      <c r="J99" s="314">
        <v>0</v>
      </c>
      <c r="K99" s="314">
        <v>0</v>
      </c>
      <c r="L99" s="182">
        <f t="shared" si="33"/>
        <v>0</v>
      </c>
      <c r="M99" s="31" t="str">
        <f t="shared" si="34"/>
        <v>N/A</v>
      </c>
      <c r="N99" s="327">
        <v>0</v>
      </c>
    </row>
    <row r="100" spans="1:14" x14ac:dyDescent="0.2">
      <c r="A100" s="287" t="s">
        <v>145</v>
      </c>
      <c r="B100" s="288"/>
      <c r="C100" s="289"/>
      <c r="D100" s="290"/>
      <c r="E100" s="291"/>
      <c r="F100" s="32"/>
      <c r="G100" s="280">
        <v>1127</v>
      </c>
      <c r="H100" s="271">
        <v>1127</v>
      </c>
      <c r="I100" s="178">
        <f t="shared" si="32"/>
        <v>0</v>
      </c>
      <c r="J100" s="313">
        <v>0</v>
      </c>
      <c r="K100" s="313">
        <v>1127</v>
      </c>
      <c r="L100" s="178">
        <f t="shared" si="33"/>
        <v>1127</v>
      </c>
      <c r="M100" s="33">
        <f t="shared" si="34"/>
        <v>1</v>
      </c>
      <c r="N100" s="328">
        <v>5665</v>
      </c>
    </row>
    <row r="101" spans="1:14" x14ac:dyDescent="0.2">
      <c r="A101" s="287" t="s">
        <v>146</v>
      </c>
      <c r="B101" s="288"/>
      <c r="C101" s="289"/>
      <c r="D101" s="290"/>
      <c r="E101" s="291"/>
      <c r="F101" s="32"/>
      <c r="G101" s="280">
        <v>597</v>
      </c>
      <c r="H101" s="271">
        <v>262</v>
      </c>
      <c r="I101" s="182">
        <f t="shared" si="32"/>
        <v>335</v>
      </c>
      <c r="J101" s="313">
        <v>0</v>
      </c>
      <c r="K101" s="315">
        <v>262</v>
      </c>
      <c r="L101" s="182">
        <f t="shared" si="33"/>
        <v>262</v>
      </c>
      <c r="M101" s="31">
        <f t="shared" si="34"/>
        <v>1</v>
      </c>
      <c r="N101" s="327">
        <v>5751</v>
      </c>
    </row>
    <row r="102" spans="1:14" x14ac:dyDescent="0.2">
      <c r="A102" s="287" t="s">
        <v>147</v>
      </c>
      <c r="B102" s="288"/>
      <c r="C102" s="289"/>
      <c r="D102" s="290"/>
      <c r="E102" s="291"/>
      <c r="F102" s="32"/>
      <c r="G102" s="280">
        <v>276</v>
      </c>
      <c r="H102" s="271">
        <v>90</v>
      </c>
      <c r="I102" s="178">
        <f t="shared" si="32"/>
        <v>186</v>
      </c>
      <c r="J102" s="313">
        <v>0</v>
      </c>
      <c r="K102" s="313">
        <v>90</v>
      </c>
      <c r="L102" s="178">
        <f t="shared" ref="L102:L104" si="35">SUM(J102:K102)</f>
        <v>90</v>
      </c>
      <c r="M102" s="33">
        <f t="shared" ref="M102:M104" si="36">IFERROR(L102/H102,"N/A")</f>
        <v>1</v>
      </c>
      <c r="N102" s="328">
        <v>90</v>
      </c>
    </row>
    <row r="103" spans="1:14" x14ac:dyDescent="0.2">
      <c r="A103" s="287" t="s">
        <v>148</v>
      </c>
      <c r="B103" s="288"/>
      <c r="C103" s="289"/>
      <c r="D103" s="290"/>
      <c r="E103" s="291"/>
      <c r="F103" s="32"/>
      <c r="G103" s="280">
        <v>9558</v>
      </c>
      <c r="H103" s="271">
        <v>4426</v>
      </c>
      <c r="I103" s="178">
        <f t="shared" si="32"/>
        <v>5132</v>
      </c>
      <c r="J103" s="313">
        <v>0</v>
      </c>
      <c r="K103" s="313">
        <v>4426</v>
      </c>
      <c r="L103" s="178">
        <f t="shared" si="35"/>
        <v>4426</v>
      </c>
      <c r="M103" s="33">
        <f t="shared" si="36"/>
        <v>1</v>
      </c>
      <c r="N103" s="328">
        <v>15991</v>
      </c>
    </row>
    <row r="104" spans="1:14" x14ac:dyDescent="0.2">
      <c r="A104" s="287" t="s">
        <v>149</v>
      </c>
      <c r="B104" s="288"/>
      <c r="C104" s="293"/>
      <c r="D104" s="294"/>
      <c r="E104" s="295"/>
      <c r="F104" s="32"/>
      <c r="G104" s="280">
        <v>24</v>
      </c>
      <c r="H104" s="271">
        <v>0</v>
      </c>
      <c r="I104" s="178">
        <f t="shared" si="32"/>
        <v>24</v>
      </c>
      <c r="J104" s="313">
        <v>0</v>
      </c>
      <c r="K104" s="313">
        <v>0</v>
      </c>
      <c r="L104" s="178">
        <f t="shared" si="35"/>
        <v>0</v>
      </c>
      <c r="M104" s="33" t="str">
        <f t="shared" si="36"/>
        <v>N/A</v>
      </c>
      <c r="N104" s="328">
        <v>23</v>
      </c>
    </row>
    <row r="105" spans="1:14" ht="13.5" thickBot="1" x14ac:dyDescent="0.25">
      <c r="A105" s="51"/>
      <c r="B105" s="47"/>
      <c r="C105" s="171" t="s">
        <v>150</v>
      </c>
      <c r="D105" s="172"/>
      <c r="E105" s="172"/>
      <c r="F105" s="52"/>
      <c r="G105" s="183">
        <f t="shared" ref="G105:L105" si="37">SUM(G89:G104)</f>
        <v>25690</v>
      </c>
      <c r="H105" s="183">
        <f t="shared" si="37"/>
        <v>11614</v>
      </c>
      <c r="I105" s="183">
        <f t="shared" si="37"/>
        <v>14076</v>
      </c>
      <c r="J105" s="183">
        <f t="shared" si="37"/>
        <v>0</v>
      </c>
      <c r="K105" s="183">
        <f t="shared" si="37"/>
        <v>11614</v>
      </c>
      <c r="L105" s="183">
        <f t="shared" si="37"/>
        <v>11614</v>
      </c>
      <c r="M105" s="53">
        <f>IFERROR(L105/H105,"N/A")</f>
        <v>1</v>
      </c>
      <c r="N105" s="184">
        <f>SUM(N89:N104)</f>
        <v>65253</v>
      </c>
    </row>
    <row r="106" spans="1:14" ht="13.5" thickBot="1" x14ac:dyDescent="0.25">
      <c r="A106" s="30"/>
      <c r="B106" s="30"/>
      <c r="C106" s="30"/>
      <c r="D106" s="30"/>
      <c r="E106" s="30"/>
      <c r="F106" s="30"/>
    </row>
    <row r="107" spans="1:14" s="58" customFormat="1" x14ac:dyDescent="0.2">
      <c r="A107" s="12" t="s">
        <v>151</v>
      </c>
      <c r="B107" s="11"/>
      <c r="C107" s="11"/>
      <c r="D107" s="11"/>
      <c r="E107" s="11"/>
      <c r="F107" s="10"/>
      <c r="G107" s="9"/>
      <c r="H107" s="9"/>
      <c r="I107" s="9"/>
      <c r="J107" s="9"/>
      <c r="K107" s="9"/>
      <c r="L107" s="9"/>
      <c r="M107" s="8"/>
      <c r="N107" s="7"/>
    </row>
    <row r="108" spans="1:14" x14ac:dyDescent="0.2">
      <c r="A108" s="62" t="s">
        <v>152</v>
      </c>
      <c r="B108" s="63"/>
      <c r="C108" s="63"/>
      <c r="D108" s="63"/>
      <c r="E108" s="63"/>
      <c r="F108" s="56"/>
      <c r="G108" s="15"/>
      <c r="H108" s="15"/>
      <c r="I108" s="15"/>
      <c r="J108" s="15"/>
      <c r="K108" s="15"/>
      <c r="L108" s="15"/>
      <c r="M108" s="14"/>
      <c r="N108" s="13"/>
    </row>
    <row r="109" spans="1:14" ht="33.75" x14ac:dyDescent="0.2">
      <c r="A109" s="48" t="s">
        <v>121</v>
      </c>
      <c r="B109" s="49"/>
      <c r="C109" s="50"/>
      <c r="D109" s="50"/>
      <c r="E109" s="50"/>
      <c r="F109" s="50"/>
      <c r="G109" s="34" t="s">
        <v>37</v>
      </c>
      <c r="H109" s="34" t="s">
        <v>38</v>
      </c>
      <c r="I109" s="34" t="s">
        <v>39</v>
      </c>
      <c r="J109" s="34" t="s">
        <v>40</v>
      </c>
      <c r="K109" s="34" t="s">
        <v>41</v>
      </c>
      <c r="L109" s="34" t="s">
        <v>42</v>
      </c>
      <c r="M109" s="45" t="s">
        <v>43</v>
      </c>
      <c r="N109" s="46" t="s">
        <v>44</v>
      </c>
    </row>
    <row r="110" spans="1:14" x14ac:dyDescent="0.2">
      <c r="A110" s="292" t="s">
        <v>153</v>
      </c>
      <c r="B110" s="288"/>
      <c r="C110" s="289"/>
      <c r="D110" s="290"/>
      <c r="E110" s="291"/>
      <c r="F110" s="32"/>
      <c r="G110" s="271">
        <v>1618</v>
      </c>
      <c r="H110" s="271">
        <v>0</v>
      </c>
      <c r="I110" s="178">
        <f t="shared" ref="I110:I112" si="38">G110-H110</f>
        <v>1618</v>
      </c>
      <c r="J110" s="313">
        <v>0</v>
      </c>
      <c r="K110" s="313">
        <v>0</v>
      </c>
      <c r="L110" s="178">
        <f>SUM(J110:K110)</f>
        <v>0</v>
      </c>
      <c r="M110" s="33" t="str">
        <f>IFERROR(L110/H110,"N/A")</f>
        <v>N/A</v>
      </c>
      <c r="N110" s="328">
        <v>7004</v>
      </c>
    </row>
    <row r="111" spans="1:14" x14ac:dyDescent="0.2">
      <c r="A111" s="287"/>
      <c r="B111" s="288"/>
      <c r="C111" s="289"/>
      <c r="D111" s="290"/>
      <c r="E111" s="291"/>
      <c r="F111" s="32"/>
      <c r="G111" s="271">
        <v>0</v>
      </c>
      <c r="H111" s="271">
        <v>0</v>
      </c>
      <c r="I111" s="178">
        <f t="shared" si="38"/>
        <v>0</v>
      </c>
      <c r="J111" s="313">
        <v>0</v>
      </c>
      <c r="K111" s="313">
        <v>0</v>
      </c>
      <c r="L111" s="178">
        <f t="shared" ref="L111:L112" si="39">SUM(J111:K111)</f>
        <v>0</v>
      </c>
      <c r="M111" s="33" t="str">
        <f t="shared" ref="M111:M112" si="40">IFERROR(L111/H111,"N/A")</f>
        <v>N/A</v>
      </c>
      <c r="N111" s="328">
        <v>1899</v>
      </c>
    </row>
    <row r="112" spans="1:14" x14ac:dyDescent="0.2">
      <c r="A112" s="287"/>
      <c r="B112" s="288"/>
      <c r="C112" s="289"/>
      <c r="D112" s="290"/>
      <c r="E112" s="291"/>
      <c r="F112" s="32"/>
      <c r="G112" s="271">
        <v>0</v>
      </c>
      <c r="H112" s="271">
        <v>0</v>
      </c>
      <c r="I112" s="178">
        <f t="shared" si="38"/>
        <v>0</v>
      </c>
      <c r="J112" s="313">
        <v>0</v>
      </c>
      <c r="K112" s="313">
        <v>0</v>
      </c>
      <c r="L112" s="178">
        <f t="shared" si="39"/>
        <v>0</v>
      </c>
      <c r="M112" s="33" t="str">
        <f t="shared" si="40"/>
        <v>N/A</v>
      </c>
      <c r="N112" s="328">
        <v>828</v>
      </c>
    </row>
    <row r="113" spans="1:14" ht="13.5" thickBot="1" x14ac:dyDescent="0.25">
      <c r="A113" s="51"/>
      <c r="B113" s="47"/>
      <c r="C113" s="171" t="s">
        <v>154</v>
      </c>
      <c r="D113" s="172"/>
      <c r="E113" s="172"/>
      <c r="F113" s="52"/>
      <c r="G113" s="183">
        <f t="shared" ref="G113:L113" si="41">SUM(G110:G112)</f>
        <v>1618</v>
      </c>
      <c r="H113" s="183">
        <f t="shared" si="41"/>
        <v>0</v>
      </c>
      <c r="I113" s="183">
        <f t="shared" si="41"/>
        <v>1618</v>
      </c>
      <c r="J113" s="183">
        <f t="shared" si="41"/>
        <v>0</v>
      </c>
      <c r="K113" s="183">
        <f t="shared" si="41"/>
        <v>0</v>
      </c>
      <c r="L113" s="183">
        <f t="shared" si="41"/>
        <v>0</v>
      </c>
      <c r="M113" s="53" t="str">
        <f>IFERROR(L113/H113,"N/A")</f>
        <v>N/A</v>
      </c>
      <c r="N113" s="184">
        <f>SUM(N110:N112)</f>
        <v>9731</v>
      </c>
    </row>
    <row r="114" spans="1:14" ht="13.5" thickBot="1" x14ac:dyDescent="0.25">
      <c r="A114" s="30"/>
      <c r="B114" s="30"/>
      <c r="C114" s="30"/>
      <c r="D114" s="30"/>
      <c r="E114" s="30"/>
      <c r="F114" s="30"/>
    </row>
    <row r="115" spans="1:14" s="58" customFormat="1" x14ac:dyDescent="0.2">
      <c r="A115" s="12" t="s">
        <v>155</v>
      </c>
      <c r="B115" s="11"/>
      <c r="C115" s="11"/>
      <c r="D115" s="11"/>
      <c r="E115" s="11"/>
      <c r="F115" s="10"/>
      <c r="G115" s="9"/>
      <c r="H115" s="9"/>
      <c r="I115" s="9"/>
      <c r="J115" s="9"/>
      <c r="K115" s="9"/>
      <c r="L115" s="9"/>
      <c r="M115" s="8"/>
      <c r="N115" s="7"/>
    </row>
    <row r="116" spans="1:14" x14ac:dyDescent="0.2">
      <c r="A116" s="62" t="s">
        <v>156</v>
      </c>
      <c r="B116" s="63"/>
      <c r="C116" s="63"/>
      <c r="D116" s="63"/>
      <c r="E116" s="63"/>
      <c r="F116" s="56"/>
      <c r="G116" s="15"/>
      <c r="H116" s="15"/>
      <c r="I116" s="15"/>
      <c r="J116" s="15"/>
      <c r="K116" s="15"/>
      <c r="L116" s="15"/>
      <c r="M116" s="14"/>
      <c r="N116" s="13"/>
    </row>
    <row r="117" spans="1:14" ht="33.75" x14ac:dyDescent="0.2">
      <c r="A117" s="48" t="s">
        <v>121</v>
      </c>
      <c r="B117" s="49"/>
      <c r="C117" s="50"/>
      <c r="D117" s="50"/>
      <c r="E117" s="50"/>
      <c r="F117" s="50"/>
      <c r="G117" s="34" t="s">
        <v>37</v>
      </c>
      <c r="H117" s="34" t="s">
        <v>38</v>
      </c>
      <c r="I117" s="34" t="s">
        <v>39</v>
      </c>
      <c r="J117" s="34" t="s">
        <v>40</v>
      </c>
      <c r="K117" s="34" t="s">
        <v>41</v>
      </c>
      <c r="L117" s="34" t="s">
        <v>42</v>
      </c>
      <c r="M117" s="45" t="s">
        <v>43</v>
      </c>
      <c r="N117" s="46" t="s">
        <v>44</v>
      </c>
    </row>
    <row r="118" spans="1:14" x14ac:dyDescent="0.2">
      <c r="A118" s="292" t="s">
        <v>157</v>
      </c>
      <c r="B118" s="288"/>
      <c r="C118" s="289"/>
      <c r="D118" s="290"/>
      <c r="E118" s="291"/>
      <c r="F118" s="32"/>
      <c r="G118" s="271">
        <v>62</v>
      </c>
      <c r="H118" s="271">
        <v>0</v>
      </c>
      <c r="I118" s="178">
        <f t="shared" ref="I118:I124" si="42">G118-H118</f>
        <v>62</v>
      </c>
      <c r="J118" s="313">
        <v>0</v>
      </c>
      <c r="K118" s="313">
        <v>0</v>
      </c>
      <c r="L118" s="178">
        <f>SUM(J118:K118)</f>
        <v>0</v>
      </c>
      <c r="M118" s="33" t="str">
        <f>IFERROR(L118/H118,"N/A")</f>
        <v>N/A</v>
      </c>
      <c r="N118" s="328">
        <v>0</v>
      </c>
    </row>
    <row r="119" spans="1:14" x14ac:dyDescent="0.2">
      <c r="A119" s="287" t="s">
        <v>158</v>
      </c>
      <c r="B119" s="288"/>
      <c r="C119" s="289"/>
      <c r="D119" s="290"/>
      <c r="E119" s="291"/>
      <c r="F119" s="32"/>
      <c r="G119" s="271">
        <v>78</v>
      </c>
      <c r="H119" s="271">
        <v>0</v>
      </c>
      <c r="I119" s="178">
        <f t="shared" si="42"/>
        <v>78</v>
      </c>
      <c r="J119" s="313">
        <v>0</v>
      </c>
      <c r="K119" s="313">
        <v>0</v>
      </c>
      <c r="L119" s="178">
        <f t="shared" ref="L119:L124" si="43">SUM(J119:K119)</f>
        <v>0</v>
      </c>
      <c r="M119" s="33" t="str">
        <f t="shared" ref="M119:M124" si="44">IFERROR(L119/H119,"N/A")</f>
        <v>N/A</v>
      </c>
      <c r="N119" s="328">
        <v>0</v>
      </c>
    </row>
    <row r="120" spans="1:14" x14ac:dyDescent="0.2">
      <c r="A120" s="287" t="s">
        <v>159</v>
      </c>
      <c r="B120" s="288"/>
      <c r="C120" s="289"/>
      <c r="D120" s="290"/>
      <c r="E120" s="291"/>
      <c r="F120" s="32"/>
      <c r="G120" s="271">
        <v>419</v>
      </c>
      <c r="H120" s="271">
        <v>370</v>
      </c>
      <c r="I120" s="178">
        <f t="shared" si="42"/>
        <v>49</v>
      </c>
      <c r="J120" s="313">
        <v>0</v>
      </c>
      <c r="K120" s="313">
        <v>370</v>
      </c>
      <c r="L120" s="178">
        <f t="shared" si="43"/>
        <v>370</v>
      </c>
      <c r="M120" s="33">
        <f t="shared" si="44"/>
        <v>1</v>
      </c>
      <c r="N120" s="328">
        <v>3336</v>
      </c>
    </row>
    <row r="121" spans="1:14" x14ac:dyDescent="0.2">
      <c r="A121" s="287" t="s">
        <v>160</v>
      </c>
      <c r="B121" s="288"/>
      <c r="C121" s="289"/>
      <c r="D121" s="290"/>
      <c r="E121" s="291"/>
      <c r="F121" s="32"/>
      <c r="G121" s="271">
        <v>66</v>
      </c>
      <c r="H121" s="271">
        <v>0</v>
      </c>
      <c r="I121" s="178">
        <f t="shared" si="42"/>
        <v>66</v>
      </c>
      <c r="J121" s="313">
        <v>0</v>
      </c>
      <c r="K121" s="313">
        <v>0</v>
      </c>
      <c r="L121" s="178">
        <f t="shared" si="43"/>
        <v>0</v>
      </c>
      <c r="M121" s="33" t="str">
        <f t="shared" si="44"/>
        <v>N/A</v>
      </c>
      <c r="N121" s="328">
        <v>741</v>
      </c>
    </row>
    <row r="122" spans="1:14" x14ac:dyDescent="0.2">
      <c r="A122" s="287" t="s">
        <v>161</v>
      </c>
      <c r="B122" s="288"/>
      <c r="C122" s="289"/>
      <c r="D122" s="290"/>
      <c r="E122" s="291"/>
      <c r="F122" s="32"/>
      <c r="G122" s="271">
        <v>8</v>
      </c>
      <c r="H122" s="271">
        <v>0</v>
      </c>
      <c r="I122" s="178">
        <f t="shared" si="42"/>
        <v>8</v>
      </c>
      <c r="J122" s="313">
        <v>0</v>
      </c>
      <c r="K122" s="313">
        <v>0</v>
      </c>
      <c r="L122" s="178">
        <f t="shared" si="43"/>
        <v>0</v>
      </c>
      <c r="M122" s="33" t="str">
        <f t="shared" si="44"/>
        <v>N/A</v>
      </c>
      <c r="N122" s="328">
        <v>0</v>
      </c>
    </row>
    <row r="123" spans="1:14" x14ac:dyDescent="0.2">
      <c r="A123" s="287"/>
      <c r="B123" s="288"/>
      <c r="C123" s="289"/>
      <c r="D123" s="290"/>
      <c r="E123" s="291"/>
      <c r="F123" s="32"/>
      <c r="G123" s="271">
        <v>0</v>
      </c>
      <c r="H123" s="271">
        <v>0</v>
      </c>
      <c r="I123" s="178">
        <f t="shared" si="42"/>
        <v>0</v>
      </c>
      <c r="J123" s="313">
        <v>0</v>
      </c>
      <c r="K123" s="313">
        <v>0</v>
      </c>
      <c r="L123" s="178">
        <f t="shared" si="43"/>
        <v>0</v>
      </c>
      <c r="M123" s="33" t="str">
        <f t="shared" si="44"/>
        <v>N/A</v>
      </c>
      <c r="N123" s="328">
        <v>0</v>
      </c>
    </row>
    <row r="124" spans="1:14" x14ac:dyDescent="0.2">
      <c r="A124" s="287"/>
      <c r="B124" s="288"/>
      <c r="C124" s="289"/>
      <c r="D124" s="290"/>
      <c r="E124" s="291"/>
      <c r="F124" s="32"/>
      <c r="G124" s="271">
        <v>0</v>
      </c>
      <c r="H124" s="271">
        <v>0</v>
      </c>
      <c r="I124" s="178">
        <f t="shared" si="42"/>
        <v>0</v>
      </c>
      <c r="J124" s="313">
        <v>0</v>
      </c>
      <c r="K124" s="313">
        <v>0</v>
      </c>
      <c r="L124" s="178">
        <f t="shared" si="43"/>
        <v>0</v>
      </c>
      <c r="M124" s="33" t="str">
        <f t="shared" si="44"/>
        <v>N/A</v>
      </c>
      <c r="N124" s="328">
        <v>0</v>
      </c>
    </row>
    <row r="125" spans="1:14" ht="13.5" thickBot="1" x14ac:dyDescent="0.25">
      <c r="A125" s="51"/>
      <c r="B125" s="47"/>
      <c r="C125" s="171" t="s">
        <v>162</v>
      </c>
      <c r="D125" s="172"/>
      <c r="E125" s="172"/>
      <c r="F125" s="52"/>
      <c r="G125" s="183">
        <f t="shared" ref="G125:L125" si="45">SUM(G118:G124)</f>
        <v>633</v>
      </c>
      <c r="H125" s="183">
        <f t="shared" si="45"/>
        <v>370</v>
      </c>
      <c r="I125" s="183">
        <f t="shared" si="45"/>
        <v>263</v>
      </c>
      <c r="J125" s="183">
        <f t="shared" si="45"/>
        <v>0</v>
      </c>
      <c r="K125" s="183">
        <f t="shared" si="45"/>
        <v>370</v>
      </c>
      <c r="L125" s="183">
        <f t="shared" si="45"/>
        <v>370</v>
      </c>
      <c r="M125" s="53">
        <f>IFERROR(L125/H125,"N/A")</f>
        <v>1</v>
      </c>
      <c r="N125" s="184">
        <f>SUM(N118:N124)</f>
        <v>4077</v>
      </c>
    </row>
    <row r="126" spans="1:14" ht="13.5" thickBot="1" x14ac:dyDescent="0.25">
      <c r="A126" s="30"/>
      <c r="B126" s="30"/>
      <c r="C126" s="30"/>
      <c r="D126" s="30"/>
      <c r="E126" s="30"/>
      <c r="F126" s="30"/>
    </row>
    <row r="127" spans="1:14" s="58" customFormat="1" x14ac:dyDescent="0.2">
      <c r="A127" s="12" t="s">
        <v>163</v>
      </c>
      <c r="B127" s="11"/>
      <c r="C127" s="11"/>
      <c r="D127" s="11"/>
      <c r="E127" s="11"/>
      <c r="F127" s="10"/>
      <c r="G127" s="9"/>
      <c r="H127" s="9"/>
      <c r="I127" s="9"/>
      <c r="J127" s="9"/>
      <c r="K127" s="9"/>
      <c r="L127" s="9"/>
      <c r="M127" s="8"/>
      <c r="N127" s="7"/>
    </row>
    <row r="128" spans="1:14" s="58" customFormat="1" ht="11.25" x14ac:dyDescent="0.2">
      <c r="A128" s="62" t="s">
        <v>164</v>
      </c>
      <c r="B128" s="55"/>
      <c r="C128" s="55"/>
      <c r="D128" s="55"/>
      <c r="E128" s="55"/>
      <c r="F128" s="56"/>
      <c r="G128" s="56"/>
      <c r="H128" s="56"/>
      <c r="I128" s="56"/>
      <c r="J128" s="56"/>
      <c r="K128" s="56"/>
      <c r="L128" s="56"/>
      <c r="M128" s="140"/>
      <c r="N128" s="57"/>
    </row>
    <row r="129" spans="1:14" s="58" customFormat="1" ht="11.25" x14ac:dyDescent="0.2">
      <c r="A129" s="67" t="s">
        <v>165</v>
      </c>
      <c r="B129" s="55"/>
      <c r="C129" s="55"/>
      <c r="D129" s="55"/>
      <c r="E129" s="55"/>
      <c r="F129" s="56"/>
      <c r="G129" s="56"/>
      <c r="H129" s="56"/>
      <c r="I129" s="56"/>
      <c r="J129" s="56"/>
      <c r="K129" s="56"/>
      <c r="L129" s="56"/>
      <c r="M129" s="140"/>
      <c r="N129" s="57"/>
    </row>
    <row r="130" spans="1:14" s="58" customFormat="1" ht="11.25" x14ac:dyDescent="0.2">
      <c r="A130" s="67" t="s">
        <v>166</v>
      </c>
      <c r="B130" s="55"/>
      <c r="C130" s="55"/>
      <c r="D130" s="55"/>
      <c r="E130" s="55"/>
      <c r="F130" s="55"/>
      <c r="G130" s="59"/>
      <c r="H130" s="59"/>
      <c r="I130" s="59"/>
      <c r="J130" s="59"/>
      <c r="K130" s="59"/>
      <c r="L130" s="59"/>
      <c r="M130" s="60"/>
      <c r="N130" s="61"/>
    </row>
    <row r="131" spans="1:14" ht="34.5" thickBot="1" x14ac:dyDescent="0.25">
      <c r="A131" s="48" t="s">
        <v>121</v>
      </c>
      <c r="B131" s="49"/>
      <c r="C131" s="50"/>
      <c r="D131" s="50"/>
      <c r="E131" s="50"/>
      <c r="F131" s="50"/>
      <c r="G131" s="34" t="s">
        <v>37</v>
      </c>
      <c r="H131" s="34" t="s">
        <v>38</v>
      </c>
      <c r="I131" s="34" t="s">
        <v>39</v>
      </c>
      <c r="J131" s="34" t="s">
        <v>40</v>
      </c>
      <c r="K131" s="34" t="s">
        <v>41</v>
      </c>
      <c r="L131" s="34" t="s">
        <v>42</v>
      </c>
      <c r="M131" s="45" t="s">
        <v>43</v>
      </c>
      <c r="N131" s="46" t="s">
        <v>44</v>
      </c>
    </row>
    <row r="132" spans="1:14" ht="13.5" thickBot="1" x14ac:dyDescent="0.25">
      <c r="A132" s="296" t="s">
        <v>167</v>
      </c>
      <c r="B132" s="297"/>
      <c r="C132" s="298"/>
      <c r="D132" s="32"/>
      <c r="E132" s="95" t="s">
        <v>168</v>
      </c>
      <c r="F132" s="96">
        <f>IFERROR(H134/H136,"N/A")</f>
        <v>7.398643246187853E-3</v>
      </c>
      <c r="G132" s="280">
        <v>34017</v>
      </c>
      <c r="H132" s="280">
        <v>1072</v>
      </c>
      <c r="I132" s="185">
        <f>G132-H132</f>
        <v>32945</v>
      </c>
      <c r="J132" s="314">
        <v>0</v>
      </c>
      <c r="K132" s="314">
        <f>1145-3</f>
        <v>1142</v>
      </c>
      <c r="L132" s="178">
        <f>SUM(J132:K132)</f>
        <v>1142</v>
      </c>
      <c r="M132" s="33">
        <f>IFERROR(L132/H132,"N/A")</f>
        <v>1.0652985074626866</v>
      </c>
      <c r="N132" s="328">
        <v>71692</v>
      </c>
    </row>
    <row r="133" spans="1:14" ht="13.5" thickBot="1" x14ac:dyDescent="0.25">
      <c r="A133" s="299"/>
      <c r="B133" s="297"/>
      <c r="C133" s="300"/>
      <c r="D133" s="32"/>
      <c r="E133" s="95" t="s">
        <v>168</v>
      </c>
      <c r="F133" s="96" t="str">
        <f>IFERROR(H135/H137,"N/A")</f>
        <v>N/A</v>
      </c>
      <c r="G133" s="280"/>
      <c r="H133" s="280">
        <v>0</v>
      </c>
      <c r="I133" s="185">
        <f t="shared" ref="I133" si="46">G133-H133</f>
        <v>0</v>
      </c>
      <c r="J133" s="314">
        <v>0</v>
      </c>
      <c r="K133" s="314">
        <v>0</v>
      </c>
      <c r="L133" s="185">
        <f>SUM(J133:K133)</f>
        <v>0</v>
      </c>
      <c r="M133" s="43" t="str">
        <f>IFERROR(L133/H133,"N/A")</f>
        <v>N/A</v>
      </c>
      <c r="N133" s="329">
        <v>0</v>
      </c>
    </row>
    <row r="134" spans="1:14" ht="13.5" thickBot="1" x14ac:dyDescent="0.25">
      <c r="A134" s="51"/>
      <c r="B134" s="47"/>
      <c r="C134" s="171" t="s">
        <v>169</v>
      </c>
      <c r="D134" s="172"/>
      <c r="E134" s="172"/>
      <c r="F134" s="173"/>
      <c r="G134" s="186">
        <f>SUM(G132:G133)</f>
        <v>34017</v>
      </c>
      <c r="H134" s="186">
        <f>SUM(H132:H133)</f>
        <v>1072</v>
      </c>
      <c r="I134" s="186">
        <f>SUM(I132:I133)</f>
        <v>32945</v>
      </c>
      <c r="J134" s="186">
        <f t="shared" ref="J134:L134" si="47">SUM(J132:J133)</f>
        <v>0</v>
      </c>
      <c r="K134" s="186">
        <f t="shared" si="47"/>
        <v>1142</v>
      </c>
      <c r="L134" s="186">
        <f t="shared" si="47"/>
        <v>1142</v>
      </c>
      <c r="M134" s="174">
        <f>IFERROR(L134/H134,"N/A")</f>
        <v>1.0652985074626866</v>
      </c>
      <c r="N134" s="187">
        <f>SUM(N132:N133)</f>
        <v>71692</v>
      </c>
    </row>
    <row r="135" spans="1:14" ht="13.5" thickBot="1" x14ac:dyDescent="0.25">
      <c r="A135" s="30"/>
      <c r="B135" s="30"/>
      <c r="C135" s="30"/>
      <c r="D135" s="30"/>
      <c r="E135" s="30"/>
      <c r="F135" s="30"/>
    </row>
    <row r="136" spans="1:14" ht="15.75" thickBot="1" x14ac:dyDescent="0.3">
      <c r="A136" s="6"/>
      <c r="B136" s="4"/>
      <c r="C136" s="5" t="s">
        <v>170</v>
      </c>
      <c r="D136" s="4"/>
      <c r="E136" s="4"/>
      <c r="F136" s="3"/>
      <c r="G136" s="188">
        <f t="shared" ref="G136:L136" si="48">SUM(G134,G125,G113,G105,G84,G76,G63)</f>
        <v>248653.39554589757</v>
      </c>
      <c r="H136" s="188">
        <f t="shared" si="48"/>
        <v>144891.43</v>
      </c>
      <c r="I136" s="188">
        <f t="shared" si="48"/>
        <v>103761.96554589758</v>
      </c>
      <c r="J136" s="188">
        <f t="shared" si="48"/>
        <v>72445.989999999991</v>
      </c>
      <c r="K136" s="188">
        <f t="shared" si="48"/>
        <v>72445.481</v>
      </c>
      <c r="L136" s="188">
        <f t="shared" si="48"/>
        <v>144891.47099999999</v>
      </c>
      <c r="M136" s="2">
        <f>IFERROR(L136/H136,"N/A")</f>
        <v>1.0000002829704973</v>
      </c>
      <c r="N136" s="189">
        <f>SUM(N134,N125,N113,N105,N84,N76,N63)</f>
        <v>559705</v>
      </c>
    </row>
    <row r="137" spans="1:14" ht="15" customHeight="1" thickBot="1" x14ac:dyDescent="0.25">
      <c r="A137" s="30"/>
      <c r="B137" s="30"/>
      <c r="C137" s="30"/>
      <c r="D137" s="30"/>
      <c r="E137" s="30"/>
      <c r="F137" s="30"/>
    </row>
    <row r="138" spans="1:14" s="208" customFormat="1" ht="15" x14ac:dyDescent="0.25">
      <c r="A138" s="206" t="s">
        <v>24</v>
      </c>
      <c r="B138" s="11"/>
      <c r="C138" s="11"/>
      <c r="D138" s="11"/>
      <c r="E138" s="11"/>
      <c r="F138" s="11"/>
      <c r="G138" s="11"/>
      <c r="H138" s="11"/>
      <c r="I138" s="11"/>
      <c r="J138" s="11"/>
      <c r="K138" s="11"/>
      <c r="L138" s="11"/>
      <c r="M138" s="11"/>
      <c r="N138" s="207"/>
    </row>
    <row r="139" spans="1:14" s="208" customFormat="1" ht="14.25" x14ac:dyDescent="0.2">
      <c r="A139" s="209" t="s">
        <v>171</v>
      </c>
      <c r="B139" s="210"/>
      <c r="C139" s="210"/>
      <c r="D139" s="210"/>
      <c r="E139" s="210"/>
      <c r="F139" s="210"/>
      <c r="G139" s="210"/>
      <c r="H139" s="210"/>
      <c r="I139" s="210"/>
      <c r="J139" s="210"/>
      <c r="K139" s="210"/>
      <c r="L139" s="210"/>
      <c r="M139" s="210"/>
      <c r="N139" s="211"/>
    </row>
    <row r="140" spans="1:14" s="208" customFormat="1" ht="15" x14ac:dyDescent="0.25">
      <c r="A140" s="209" t="s">
        <v>172</v>
      </c>
      <c r="B140" s="210"/>
      <c r="C140" s="210"/>
      <c r="D140" s="210"/>
      <c r="E140" s="210"/>
      <c r="F140" s="210"/>
      <c r="G140" s="210"/>
      <c r="H140" s="210"/>
      <c r="I140" s="210"/>
      <c r="J140" s="210"/>
      <c r="K140" s="210"/>
      <c r="L140" s="210"/>
      <c r="M140" s="210"/>
      <c r="N140" s="211"/>
    </row>
    <row r="141" spans="1:14" s="208" customFormat="1" ht="15" x14ac:dyDescent="0.25">
      <c r="A141" s="209" t="s">
        <v>173</v>
      </c>
      <c r="B141" s="210"/>
      <c r="C141" s="210"/>
      <c r="D141" s="210"/>
      <c r="E141" s="210"/>
      <c r="F141" s="210"/>
      <c r="G141" s="210"/>
      <c r="H141" s="210"/>
      <c r="I141" s="210"/>
      <c r="J141" s="210"/>
      <c r="K141" s="210"/>
      <c r="L141" s="210"/>
      <c r="M141" s="210"/>
      <c r="N141" s="211"/>
    </row>
    <row r="142" spans="1:14" s="208" customFormat="1" ht="45" customHeight="1" x14ac:dyDescent="0.2">
      <c r="A142" s="212" t="s">
        <v>174</v>
      </c>
      <c r="B142" s="213"/>
      <c r="C142" s="213" t="s">
        <v>121</v>
      </c>
      <c r="I142" s="214" t="s">
        <v>175</v>
      </c>
      <c r="J142" s="214" t="s">
        <v>176</v>
      </c>
      <c r="K142" s="214" t="s">
        <v>177</v>
      </c>
      <c r="L142" s="214" t="s">
        <v>178</v>
      </c>
      <c r="M142" s="162" t="s">
        <v>179</v>
      </c>
      <c r="N142" s="215" t="s">
        <v>180</v>
      </c>
    </row>
    <row r="143" spans="1:14" s="208" customFormat="1" ht="15" customHeight="1" x14ac:dyDescent="0.2">
      <c r="A143" s="216" t="s">
        <v>181</v>
      </c>
      <c r="B143" s="217"/>
      <c r="C143" s="217"/>
      <c r="I143" s="218"/>
      <c r="J143" s="218"/>
      <c r="K143" s="218"/>
      <c r="L143" s="218"/>
      <c r="M143" s="25"/>
      <c r="N143" s="153"/>
    </row>
    <row r="144" spans="1:14" s="208" customFormat="1" ht="15" customHeight="1" x14ac:dyDescent="0.2">
      <c r="A144" s="301" t="s">
        <v>182</v>
      </c>
      <c r="B144" s="302"/>
      <c r="C144" s="302"/>
      <c r="I144" s="271">
        <v>43710</v>
      </c>
      <c r="J144" s="315">
        <v>21364</v>
      </c>
      <c r="K144" s="315">
        <v>347039</v>
      </c>
      <c r="L144" s="192">
        <f t="shared" ref="L144:L145" si="49">SUM(J144:K144)</f>
        <v>368403</v>
      </c>
      <c r="M144" s="25"/>
      <c r="N144" s="153"/>
    </row>
    <row r="145" spans="1:14" s="208" customFormat="1" ht="15" customHeight="1" x14ac:dyDescent="0.2">
      <c r="A145" s="301"/>
      <c r="B145" s="302"/>
      <c r="C145" s="302"/>
      <c r="I145" s="271">
        <v>0</v>
      </c>
      <c r="J145" s="315">
        <v>0</v>
      </c>
      <c r="K145" s="315">
        <v>0</v>
      </c>
      <c r="L145" s="192">
        <f t="shared" si="49"/>
        <v>0</v>
      </c>
      <c r="M145" s="25"/>
      <c r="N145" s="153"/>
    </row>
    <row r="146" spans="1:14" s="208" customFormat="1" x14ac:dyDescent="0.2">
      <c r="A146" s="219" t="s">
        <v>183</v>
      </c>
      <c r="B146" s="217"/>
      <c r="I146" s="218"/>
      <c r="J146" s="218"/>
      <c r="K146" s="218"/>
      <c r="L146" s="218"/>
      <c r="M146" s="25"/>
      <c r="N146" s="153"/>
    </row>
    <row r="147" spans="1:14" s="208" customFormat="1" ht="15" customHeight="1" x14ac:dyDescent="0.2">
      <c r="A147" s="301"/>
      <c r="B147" s="302"/>
      <c r="I147" s="271">
        <v>0</v>
      </c>
      <c r="J147" s="315">
        <v>0</v>
      </c>
      <c r="K147" s="315">
        <v>0</v>
      </c>
      <c r="L147" s="192">
        <f t="shared" ref="L147:L157" si="50">SUM(J147:K147)</f>
        <v>0</v>
      </c>
      <c r="M147" s="25"/>
      <c r="N147" s="153"/>
    </row>
    <row r="148" spans="1:14" s="208" customFormat="1" ht="15" customHeight="1" x14ac:dyDescent="0.2">
      <c r="A148" s="301"/>
      <c r="B148" s="302"/>
      <c r="I148" s="271">
        <v>0</v>
      </c>
      <c r="J148" s="315">
        <v>0</v>
      </c>
      <c r="K148" s="315">
        <v>0</v>
      </c>
      <c r="L148" s="192">
        <f t="shared" si="50"/>
        <v>0</v>
      </c>
      <c r="M148" s="25"/>
      <c r="N148" s="153"/>
    </row>
    <row r="149" spans="1:14" s="208" customFormat="1" x14ac:dyDescent="0.2">
      <c r="A149" s="219" t="s">
        <v>184</v>
      </c>
      <c r="B149" s="217"/>
      <c r="I149" s="218"/>
      <c r="J149" s="218"/>
      <c r="K149" s="218"/>
      <c r="L149" s="218"/>
      <c r="M149" s="25"/>
      <c r="N149" s="153"/>
    </row>
    <row r="150" spans="1:14" s="208" customFormat="1" ht="15" customHeight="1" x14ac:dyDescent="0.2">
      <c r="A150" s="301"/>
      <c r="B150" s="302"/>
      <c r="I150" s="271">
        <v>0</v>
      </c>
      <c r="J150" s="315">
        <v>0</v>
      </c>
      <c r="K150" s="315">
        <v>0</v>
      </c>
      <c r="L150" s="192">
        <f t="shared" ref="L150:L151" si="51">SUM(J150:K150)</f>
        <v>0</v>
      </c>
      <c r="M150" s="25"/>
      <c r="N150" s="153"/>
    </row>
    <row r="151" spans="1:14" s="208" customFormat="1" ht="15" customHeight="1" x14ac:dyDescent="0.2">
      <c r="A151" s="301"/>
      <c r="B151" s="302"/>
      <c r="I151" s="271">
        <v>0</v>
      </c>
      <c r="J151" s="315">
        <v>0</v>
      </c>
      <c r="K151" s="315">
        <v>0</v>
      </c>
      <c r="L151" s="192">
        <f t="shared" si="51"/>
        <v>0</v>
      </c>
      <c r="M151" s="25"/>
      <c r="N151" s="153"/>
    </row>
    <row r="152" spans="1:14" s="208" customFormat="1" x14ac:dyDescent="0.2">
      <c r="A152" s="219" t="s">
        <v>185</v>
      </c>
      <c r="B152" s="217"/>
      <c r="I152" s="218"/>
      <c r="J152" s="218"/>
      <c r="K152" s="218"/>
      <c r="L152" s="218"/>
      <c r="M152" s="70"/>
      <c r="N152" s="154"/>
    </row>
    <row r="153" spans="1:14" s="208" customFormat="1" ht="15" customHeight="1" x14ac:dyDescent="0.2">
      <c r="A153" s="301" t="s">
        <v>186</v>
      </c>
      <c r="B153" s="302"/>
      <c r="I153" s="271">
        <v>83935</v>
      </c>
      <c r="J153" s="315">
        <v>74697</v>
      </c>
      <c r="K153" s="315">
        <v>-53752</v>
      </c>
      <c r="L153" s="192">
        <f t="shared" ref="L153:L154" si="52">SUM(J153:K153)</f>
        <v>20945</v>
      </c>
      <c r="M153" s="25"/>
      <c r="N153" s="153"/>
    </row>
    <row r="154" spans="1:14" s="208" customFormat="1" ht="15" customHeight="1" x14ac:dyDescent="0.2">
      <c r="A154" s="301"/>
      <c r="B154" s="302"/>
      <c r="I154" s="271">
        <v>0</v>
      </c>
      <c r="J154" s="315">
        <v>0</v>
      </c>
      <c r="K154" s="315">
        <v>0</v>
      </c>
      <c r="L154" s="192">
        <f t="shared" si="52"/>
        <v>0</v>
      </c>
      <c r="M154" s="25"/>
      <c r="N154" s="153"/>
    </row>
    <row r="155" spans="1:14" s="208" customFormat="1" x14ac:dyDescent="0.2">
      <c r="A155" s="219" t="s">
        <v>187</v>
      </c>
      <c r="B155" s="217"/>
      <c r="I155" s="218"/>
      <c r="J155" s="218"/>
      <c r="K155" s="218"/>
      <c r="L155" s="218"/>
      <c r="M155" s="70"/>
      <c r="N155" s="154"/>
    </row>
    <row r="156" spans="1:14" s="208" customFormat="1" ht="15" customHeight="1" x14ac:dyDescent="0.2">
      <c r="A156" s="301"/>
      <c r="B156" s="302"/>
      <c r="I156" s="271">
        <v>0</v>
      </c>
      <c r="J156" s="315">
        <v>0</v>
      </c>
      <c r="K156" s="315">
        <v>0</v>
      </c>
      <c r="L156" s="192">
        <f t="shared" si="50"/>
        <v>0</v>
      </c>
      <c r="M156" s="25"/>
      <c r="N156" s="153"/>
    </row>
    <row r="157" spans="1:14" s="208" customFormat="1" ht="15" customHeight="1" x14ac:dyDescent="0.2">
      <c r="A157" s="301"/>
      <c r="B157" s="302"/>
      <c r="I157" s="271">
        <v>0</v>
      </c>
      <c r="J157" s="315">
        <v>0</v>
      </c>
      <c r="K157" s="315">
        <v>0</v>
      </c>
      <c r="L157" s="192">
        <f t="shared" si="50"/>
        <v>0</v>
      </c>
      <c r="M157" s="25"/>
      <c r="N157" s="153"/>
    </row>
    <row r="158" spans="1:14" s="208" customFormat="1" x14ac:dyDescent="0.2">
      <c r="A158" s="216" t="s">
        <v>188</v>
      </c>
      <c r="B158" s="217"/>
      <c r="I158" s="218"/>
      <c r="J158" s="218"/>
      <c r="K158" s="218"/>
      <c r="L158" s="218"/>
      <c r="M158" s="70"/>
      <c r="N158" s="154"/>
    </row>
    <row r="159" spans="1:14" s="208" customFormat="1" ht="15" customHeight="1" x14ac:dyDescent="0.2">
      <c r="A159" s="301"/>
      <c r="B159" s="302"/>
      <c r="I159" s="271">
        <v>0</v>
      </c>
      <c r="J159" s="315">
        <v>0</v>
      </c>
      <c r="K159" s="315">
        <v>25466</v>
      </c>
      <c r="L159" s="192">
        <f t="shared" ref="L159:L160" si="53">SUM(J159:K159)</f>
        <v>25466</v>
      </c>
      <c r="M159" s="25"/>
      <c r="N159" s="153"/>
    </row>
    <row r="160" spans="1:14" s="208" customFormat="1" ht="15" customHeight="1" x14ac:dyDescent="0.2">
      <c r="A160" s="301"/>
      <c r="B160" s="302"/>
      <c r="I160" s="271">
        <v>0</v>
      </c>
      <c r="J160" s="315">
        <v>0</v>
      </c>
      <c r="K160" s="315">
        <v>0</v>
      </c>
      <c r="L160" s="192">
        <f t="shared" si="53"/>
        <v>0</v>
      </c>
      <c r="M160" s="25"/>
      <c r="N160" s="153"/>
    </row>
    <row r="161" spans="1:14" s="208" customFormat="1" ht="15.75" thickBot="1" x14ac:dyDescent="0.3">
      <c r="A161" s="220" t="s">
        <v>189</v>
      </c>
      <c r="B161" s="204"/>
      <c r="C161" s="204"/>
      <c r="D161" s="221" t="s">
        <v>190</v>
      </c>
      <c r="E161" s="222"/>
      <c r="F161" s="222"/>
      <c r="G161" s="222"/>
      <c r="H161" s="222"/>
      <c r="I161" s="193">
        <f>SUM(I143:I160)</f>
        <v>127645</v>
      </c>
      <c r="J161" s="193">
        <f t="shared" ref="J161:L161" si="54">SUM(J143:J160)</f>
        <v>96061</v>
      </c>
      <c r="K161" s="193">
        <f t="shared" si="54"/>
        <v>318753</v>
      </c>
      <c r="L161" s="193">
        <f t="shared" si="54"/>
        <v>414814</v>
      </c>
      <c r="M161" s="194">
        <f>N13-L13</f>
        <v>414813.52899999998</v>
      </c>
      <c r="N161" s="195">
        <f>IFERROR(L161-M161,"N/A")</f>
        <v>0.47100000001955777</v>
      </c>
    </row>
    <row r="162" spans="1:14" s="208" customFormat="1" ht="13.5" thickBot="1" x14ac:dyDescent="0.25">
      <c r="A162" s="223"/>
      <c r="F162" s="79"/>
      <c r="M162" s="21"/>
      <c r="N162" s="20"/>
    </row>
    <row r="163" spans="1:14" s="208" customFormat="1" x14ac:dyDescent="0.2">
      <c r="A163" s="224" t="s">
        <v>191</v>
      </c>
      <c r="B163" s="225"/>
      <c r="C163" s="225"/>
      <c r="D163" s="225"/>
      <c r="E163" s="225"/>
      <c r="F163" s="226"/>
      <c r="G163" s="226"/>
      <c r="H163" s="226"/>
      <c r="I163" s="226"/>
      <c r="J163" s="226"/>
      <c r="K163" s="226"/>
      <c r="L163" s="226"/>
      <c r="M163" s="29"/>
      <c r="N163" s="28"/>
    </row>
    <row r="164" spans="1:14" s="208" customFormat="1" ht="13.5" thickBot="1" x14ac:dyDescent="0.25">
      <c r="A164" s="227" t="s">
        <v>192</v>
      </c>
      <c r="B164" s="228"/>
      <c r="C164" s="228"/>
      <c r="D164" s="228"/>
      <c r="E164" s="228"/>
      <c r="F164" s="229"/>
      <c r="G164" s="229"/>
      <c r="H164" s="229"/>
      <c r="I164" s="229"/>
      <c r="J164" s="229"/>
      <c r="K164" s="229"/>
      <c r="L164" s="229"/>
      <c r="M164" s="24"/>
      <c r="N164" s="23"/>
    </row>
  </sheetData>
  <sheetProtection algorithmName="SHA-512" hashValue="zrCPKZFCfg7p1uhGKlYVLMPOnT9Dm+kozyEZGXAiOuKQwEsa2V3JZqZPsN5+dvZvS71zikxFT+nrshEzRlVA3A==" saltValue="DGK2VdSbfkRkwIoXVp+icw==" spinCount="100000" sheet="1" objects="1" scenarios="1"/>
  <sortState xmlns:xlrd2="http://schemas.microsoft.com/office/spreadsheetml/2017/richdata2" ref="A27:N62">
    <sortCondition descending="1" ref="C27:C62"/>
  </sortState>
  <conditionalFormatting sqref="B152 B155 B158">
    <cfRule type="containsText" dxfId="22" priority="33" operator="containsText" text="VARIANCE">
      <formula>NOT(ISERROR(SEARCH("VARIANCE",B152)))</formula>
    </cfRule>
  </conditionalFormatting>
  <conditionalFormatting sqref="B143 B146 B149">
    <cfRule type="containsText" dxfId="21" priority="32" operator="containsText" text="VARIANCE">
      <formula>NOT(ISERROR(SEARCH("VARIANCE",B143)))</formula>
    </cfRule>
  </conditionalFormatting>
  <conditionalFormatting sqref="B144">
    <cfRule type="containsText" dxfId="20" priority="31" operator="containsText" text="VARIANCE">
      <formula>NOT(ISERROR(SEARCH("VARIANCE",B144)))</formula>
    </cfRule>
  </conditionalFormatting>
  <conditionalFormatting sqref="B145">
    <cfRule type="containsText" dxfId="19" priority="30" operator="containsText" text="VARIANCE">
      <formula>NOT(ISERROR(SEARCH("VARIANCE",B145)))</formula>
    </cfRule>
  </conditionalFormatting>
  <conditionalFormatting sqref="B147">
    <cfRule type="containsText" dxfId="18" priority="29" operator="containsText" text="VARIANCE">
      <formula>NOT(ISERROR(SEARCH("VARIANCE",B147)))</formula>
    </cfRule>
  </conditionalFormatting>
  <conditionalFormatting sqref="B148">
    <cfRule type="containsText" dxfId="17" priority="28" operator="containsText" text="VARIANCE">
      <formula>NOT(ISERROR(SEARCH("VARIANCE",B148)))</formula>
    </cfRule>
  </conditionalFormatting>
  <conditionalFormatting sqref="B150">
    <cfRule type="containsText" dxfId="16" priority="27" operator="containsText" text="VARIANCE">
      <formula>NOT(ISERROR(SEARCH("VARIANCE",B150)))</formula>
    </cfRule>
  </conditionalFormatting>
  <conditionalFormatting sqref="B151">
    <cfRule type="containsText" dxfId="15" priority="26" operator="containsText" text="VARIANCE">
      <formula>NOT(ISERROR(SEARCH("VARIANCE",B151)))</formula>
    </cfRule>
  </conditionalFormatting>
  <conditionalFormatting sqref="B153">
    <cfRule type="containsText" dxfId="14" priority="25" operator="containsText" text="VARIANCE">
      <formula>NOT(ISERROR(SEARCH("VARIANCE",B153)))</formula>
    </cfRule>
  </conditionalFormatting>
  <conditionalFormatting sqref="B154">
    <cfRule type="containsText" dxfId="13" priority="24" operator="containsText" text="VARIANCE">
      <formula>NOT(ISERROR(SEARCH("VARIANCE",B154)))</formula>
    </cfRule>
  </conditionalFormatting>
  <conditionalFormatting sqref="B156">
    <cfRule type="containsText" dxfId="12" priority="23" operator="containsText" text="VARIANCE">
      <formula>NOT(ISERROR(SEARCH("VARIANCE",B156)))</formula>
    </cfRule>
  </conditionalFormatting>
  <conditionalFormatting sqref="B157">
    <cfRule type="containsText" dxfId="11" priority="22" operator="containsText" text="VARIANCE">
      <formula>NOT(ISERROR(SEARCH("VARIANCE",B157)))</formula>
    </cfRule>
  </conditionalFormatting>
  <conditionalFormatting sqref="B159">
    <cfRule type="containsText" dxfId="10" priority="21" operator="containsText" text="VARIANCE">
      <formula>NOT(ISERROR(SEARCH("VARIANCE",B159)))</formula>
    </cfRule>
  </conditionalFormatting>
  <conditionalFormatting sqref="B160">
    <cfRule type="containsText" dxfId="9" priority="20" operator="containsText" text="VARIANCE">
      <formula>NOT(ISERROR(SEARCH("VARIANCE",B160)))</formula>
    </cfRule>
  </conditionalFormatting>
  <conditionalFormatting sqref="I143:L143">
    <cfRule type="containsText" dxfId="8" priority="19" operator="containsText" text="VARIANCE">
      <formula>NOT(ISERROR(SEARCH("VARIANCE",I143)))</formula>
    </cfRule>
  </conditionalFormatting>
  <conditionalFormatting sqref="I146:L146">
    <cfRule type="containsText" dxfId="7" priority="18" operator="containsText" text="VARIANCE">
      <formula>NOT(ISERROR(SEARCH("VARIANCE",I146)))</formula>
    </cfRule>
  </conditionalFormatting>
  <conditionalFormatting sqref="I149:L149">
    <cfRule type="containsText" dxfId="6" priority="17" operator="containsText" text="VARIANCE">
      <formula>NOT(ISERROR(SEARCH("VARIANCE",I149)))</formula>
    </cfRule>
  </conditionalFormatting>
  <conditionalFormatting sqref="I152:L152">
    <cfRule type="containsText" dxfId="5" priority="16" operator="containsText" text="VARIANCE">
      <formula>NOT(ISERROR(SEARCH("VARIANCE",I152)))</formula>
    </cfRule>
  </conditionalFormatting>
  <conditionalFormatting sqref="I155:L155">
    <cfRule type="containsText" dxfId="4" priority="15" operator="containsText" text="VARIANCE">
      <formula>NOT(ISERROR(SEARCH("VARIANCE",I155)))</formula>
    </cfRule>
  </conditionalFormatting>
  <conditionalFormatting sqref="I158:L158">
    <cfRule type="containsText" dxfId="3" priority="14" operator="containsText" text="VARIANCE">
      <formula>NOT(ISERROR(SEARCH("VARIANCE",I158)))</formula>
    </cfRule>
  </conditionalFormatting>
  <conditionalFormatting sqref="C143">
    <cfRule type="containsText" dxfId="2" priority="7" operator="containsText" text="VARIANCE">
      <formula>NOT(ISERROR(SEARCH("VARIANCE",C143)))</formula>
    </cfRule>
  </conditionalFormatting>
  <conditionalFormatting sqref="C144">
    <cfRule type="containsText" dxfId="1" priority="6" operator="containsText" text="VARIANCE">
      <formula>NOT(ISERROR(SEARCH("VARIANCE",C144)))</formula>
    </cfRule>
  </conditionalFormatting>
  <conditionalFormatting sqref="C145">
    <cfRule type="containsText" dxfId="0" priority="5" operator="containsText" text="VARIANCE">
      <formula>NOT(ISERROR(SEARCH("VARIANCE",C145)))</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32:F133"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144:C145"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50:M61 M38:M48 M27:M30 M32:M36" xr:uid="{00000000-0002-0000-0600-000002000000}">
      <formula1>0.9</formula1>
      <formula2>1.1</formula2>
    </dataValidation>
    <dataValidation type="list" allowBlank="1" showInputMessage="1" showErrorMessage="1" sqref="C50:C62 C27:C36 C38:C48" xr:uid="{74035CC8-3374-44B2-8A35-54AB49E229AE}">
      <formula1>$C$19:$C$21</formula1>
    </dataValidation>
  </dataValidations>
  <pageMargins left="0.45" right="0.45" top="0.5" bottom="0.5" header="0.3" footer="0.3"/>
  <pageSetup scale="48" orientation="landscape" r:id="rId1"/>
  <headerFooter>
    <oddFooter>&amp;LCity of Santa Monica
Exhibit C2 – Program Budget&amp;C&amp;P&amp;RFiscal Year 2021-22
Human Services Grants Program</oddFooter>
  </headerFooter>
  <rowBreaks count="1" manualBreakCount="1">
    <brk id="84" max="16383" man="1"/>
  </rowBreaks>
  <ignoredErrors>
    <ignoredError sqref="M6 M10:M11 M7:M9 M12:M13" formula="1"/>
    <ignoredError sqref="L144:L16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C000"/>
  </sheetPr>
  <dimension ref="A1:I50"/>
  <sheetViews>
    <sheetView zoomScale="80" zoomScaleNormal="80" workbookViewId="0">
      <selection activeCell="H1" sqref="H1"/>
    </sheetView>
  </sheetViews>
  <sheetFormatPr defaultColWidth="8.85546875" defaultRowHeight="12.75" x14ac:dyDescent="0.2"/>
  <cols>
    <col min="1" max="1" width="53.7109375" style="81" customWidth="1"/>
    <col min="2" max="5" width="17.28515625" style="80" customWidth="1"/>
    <col min="6" max="8" width="17.28515625" style="42" customWidth="1"/>
    <col min="9" max="9" width="17.140625" style="82" customWidth="1"/>
    <col min="10" max="16384" width="8.85546875" style="82"/>
  </cols>
  <sheetData>
    <row r="1" spans="1:8" ht="18" x14ac:dyDescent="0.2">
      <c r="A1" s="83" t="s">
        <v>34</v>
      </c>
      <c r="B1" s="146"/>
      <c r="C1" s="85"/>
      <c r="D1" s="85"/>
      <c r="E1" s="371"/>
      <c r="F1" s="147"/>
    </row>
    <row r="2" spans="1:8" ht="18" x14ac:dyDescent="0.2">
      <c r="A2" s="83" t="s">
        <v>193</v>
      </c>
      <c r="B2" s="148"/>
      <c r="C2" s="148"/>
      <c r="D2" s="149"/>
      <c r="E2" s="149"/>
      <c r="F2" s="148"/>
      <c r="G2" s="148"/>
      <c r="H2" s="148"/>
    </row>
    <row r="3" spans="1:8" ht="9.75" customHeight="1" x14ac:dyDescent="0.2">
      <c r="A3" s="83"/>
      <c r="B3" s="148"/>
      <c r="C3" s="148"/>
      <c r="D3" s="149"/>
      <c r="E3" s="149"/>
      <c r="F3" s="148"/>
      <c r="G3" s="148"/>
      <c r="H3" s="148"/>
    </row>
    <row r="4" spans="1:8" x14ac:dyDescent="0.2">
      <c r="A4" s="84"/>
      <c r="B4" s="146"/>
      <c r="C4" s="85"/>
      <c r="D4" s="85"/>
      <c r="E4" s="85"/>
      <c r="F4" s="147"/>
    </row>
    <row r="5" spans="1:8" s="91" customFormat="1" ht="45" x14ac:dyDescent="0.2">
      <c r="A5" s="156" t="s">
        <v>194</v>
      </c>
      <c r="B5" s="150" t="s">
        <v>195</v>
      </c>
      <c r="C5" s="150" t="s">
        <v>196</v>
      </c>
      <c r="D5" s="150" t="s">
        <v>197</v>
      </c>
      <c r="E5" s="94"/>
      <c r="G5" s="94"/>
      <c r="H5" s="94"/>
    </row>
    <row r="6" spans="1:8" s="91" customFormat="1" ht="14.25" x14ac:dyDescent="0.2">
      <c r="A6" s="151" t="s">
        <v>198</v>
      </c>
      <c r="B6" s="309">
        <v>22</v>
      </c>
      <c r="C6" s="316">
        <v>17</v>
      </c>
      <c r="D6" s="316">
        <v>19</v>
      </c>
      <c r="E6" s="94"/>
      <c r="G6" s="94"/>
      <c r="H6" s="94"/>
    </row>
    <row r="7" spans="1:8" s="91" customFormat="1" ht="14.25" x14ac:dyDescent="0.2">
      <c r="A7" s="151" t="s">
        <v>199</v>
      </c>
      <c r="B7" s="309">
        <v>22</v>
      </c>
      <c r="C7" s="316">
        <v>17</v>
      </c>
      <c r="D7" s="316">
        <v>19</v>
      </c>
      <c r="E7" s="94"/>
      <c r="G7" s="94"/>
      <c r="H7" s="94"/>
    </row>
    <row r="8" spans="1:8" s="91" customFormat="1" ht="14.25" x14ac:dyDescent="0.2">
      <c r="A8" s="151" t="s">
        <v>200</v>
      </c>
      <c r="B8" s="309">
        <v>13</v>
      </c>
      <c r="C8" s="316">
        <v>17</v>
      </c>
      <c r="D8" s="316">
        <v>19</v>
      </c>
      <c r="E8" s="94"/>
      <c r="G8" s="94"/>
      <c r="H8" s="94"/>
    </row>
    <row r="9" spans="1:8" s="91" customFormat="1" ht="14.25" x14ac:dyDescent="0.2">
      <c r="A9" s="151" t="s">
        <v>201</v>
      </c>
      <c r="B9" s="309">
        <v>0</v>
      </c>
      <c r="C9" s="316">
        <v>0</v>
      </c>
      <c r="D9" s="316">
        <v>0</v>
      </c>
      <c r="E9" s="94"/>
      <c r="G9" s="94"/>
      <c r="H9" s="94"/>
    </row>
    <row r="10" spans="1:8" s="91" customFormat="1" ht="14.25" x14ac:dyDescent="0.2">
      <c r="A10" s="151" t="s">
        <v>202</v>
      </c>
      <c r="B10" s="309">
        <v>2</v>
      </c>
      <c r="C10" s="316">
        <v>1</v>
      </c>
      <c r="D10" s="316">
        <v>2</v>
      </c>
      <c r="E10" s="94"/>
      <c r="G10" s="94"/>
      <c r="H10" s="94"/>
    </row>
    <row r="11" spans="1:8" s="91" customFormat="1" ht="14.25" x14ac:dyDescent="0.2">
      <c r="A11" s="151" t="s">
        <v>203</v>
      </c>
      <c r="B11" s="309" t="s">
        <v>204</v>
      </c>
      <c r="C11" s="316" t="s">
        <v>204</v>
      </c>
      <c r="D11" s="316" t="s">
        <v>204</v>
      </c>
      <c r="E11" s="94"/>
      <c r="G11" s="94"/>
      <c r="H11" s="94"/>
    </row>
    <row r="12" spans="1:8" s="91" customFormat="1" ht="14.25" x14ac:dyDescent="0.2">
      <c r="A12" s="151" t="s">
        <v>205</v>
      </c>
      <c r="B12" s="309">
        <v>8</v>
      </c>
      <c r="C12" s="316">
        <v>11</v>
      </c>
      <c r="D12" s="316">
        <v>15</v>
      </c>
      <c r="E12" s="94"/>
      <c r="G12" s="94"/>
      <c r="H12" s="94"/>
    </row>
    <row r="13" spans="1:8" s="91" customFormat="1" ht="14.25" x14ac:dyDescent="0.2">
      <c r="A13" s="151" t="s">
        <v>206</v>
      </c>
      <c r="B13" s="309">
        <v>4</v>
      </c>
      <c r="C13" s="316">
        <v>5</v>
      </c>
      <c r="D13" s="316">
        <v>5</v>
      </c>
      <c r="E13" s="94"/>
      <c r="G13" s="94"/>
      <c r="H13" s="94"/>
    </row>
    <row r="14" spans="1:8" s="91" customFormat="1" ht="14.25" x14ac:dyDescent="0.2">
      <c r="A14" s="92"/>
      <c r="B14" s="93"/>
      <c r="C14" s="93"/>
      <c r="D14" s="93"/>
      <c r="E14" s="94"/>
      <c r="G14" s="94"/>
      <c r="H14" s="94"/>
    </row>
    <row r="15" spans="1:8" s="91" customFormat="1" ht="30" x14ac:dyDescent="0.2">
      <c r="A15" s="156" t="s">
        <v>207</v>
      </c>
      <c r="B15" s="150" t="s">
        <v>195</v>
      </c>
      <c r="C15" s="150" t="s">
        <v>196</v>
      </c>
      <c r="D15" s="150" t="s">
        <v>197</v>
      </c>
      <c r="E15" s="94"/>
      <c r="G15" s="94"/>
      <c r="H15" s="94"/>
    </row>
    <row r="16" spans="1:8" s="91" customFormat="1" ht="14.25" x14ac:dyDescent="0.2">
      <c r="A16" s="151" t="s">
        <v>208</v>
      </c>
      <c r="B16" s="309">
        <v>0</v>
      </c>
      <c r="C16" s="316">
        <v>0</v>
      </c>
      <c r="D16" s="316">
        <v>0</v>
      </c>
      <c r="E16" s="94"/>
      <c r="G16" s="94"/>
      <c r="H16" s="94"/>
    </row>
    <row r="17" spans="1:8" s="91" customFormat="1" ht="14.25" x14ac:dyDescent="0.2">
      <c r="A17" s="151" t="s">
        <v>209</v>
      </c>
      <c r="B17" s="309">
        <v>3</v>
      </c>
      <c r="C17" s="316">
        <v>1</v>
      </c>
      <c r="D17" s="316">
        <v>2</v>
      </c>
      <c r="E17" s="94"/>
      <c r="G17" s="94"/>
      <c r="H17" s="94"/>
    </row>
    <row r="18" spans="1:8" s="91" customFormat="1" ht="14.25" x14ac:dyDescent="0.2">
      <c r="A18" s="151" t="s">
        <v>210</v>
      </c>
      <c r="B18" s="309">
        <v>7</v>
      </c>
      <c r="C18" s="316">
        <v>9</v>
      </c>
      <c r="D18" s="316">
        <v>9</v>
      </c>
      <c r="E18" s="94"/>
      <c r="G18" s="94"/>
      <c r="H18" s="94"/>
    </row>
    <row r="19" spans="1:8" s="91" customFormat="1" ht="14.25" x14ac:dyDescent="0.2">
      <c r="A19" s="151" t="s">
        <v>211</v>
      </c>
      <c r="B19" s="309">
        <v>9</v>
      </c>
      <c r="C19" s="316">
        <v>2</v>
      </c>
      <c r="D19" s="316">
        <v>3</v>
      </c>
      <c r="E19" s="94"/>
      <c r="G19" s="94"/>
      <c r="H19" s="94"/>
    </row>
    <row r="20" spans="1:8" s="91" customFormat="1" ht="14.25" x14ac:dyDescent="0.2">
      <c r="A20" s="151" t="s">
        <v>212</v>
      </c>
      <c r="B20" s="309">
        <v>3</v>
      </c>
      <c r="C20" s="316">
        <v>5</v>
      </c>
      <c r="D20" s="316">
        <v>5</v>
      </c>
      <c r="E20" s="94"/>
      <c r="G20" s="94"/>
      <c r="H20" s="94"/>
    </row>
    <row r="21" spans="1:8" s="91" customFormat="1" ht="14.25" x14ac:dyDescent="0.2">
      <c r="A21" s="151" t="s">
        <v>213</v>
      </c>
      <c r="B21" s="309">
        <v>0</v>
      </c>
      <c r="C21" s="316">
        <v>0</v>
      </c>
      <c r="D21" s="316">
        <v>0</v>
      </c>
      <c r="E21" s="94"/>
      <c r="G21" s="94"/>
      <c r="H21" s="94"/>
    </row>
    <row r="22" spans="1:8" s="91" customFormat="1" ht="14.25" x14ac:dyDescent="0.2">
      <c r="A22" s="151" t="s">
        <v>214</v>
      </c>
      <c r="B22" s="309">
        <v>0</v>
      </c>
      <c r="C22" s="316">
        <v>0</v>
      </c>
      <c r="D22" s="316">
        <v>0</v>
      </c>
      <c r="E22" s="94"/>
      <c r="G22" s="94"/>
      <c r="H22" s="94"/>
    </row>
    <row r="23" spans="1:8" s="91" customFormat="1" ht="15" x14ac:dyDescent="0.2">
      <c r="A23" s="152" t="s">
        <v>215</v>
      </c>
      <c r="B23" s="142">
        <f>SUM(B16:B22)</f>
        <v>22</v>
      </c>
      <c r="C23" s="142">
        <f t="shared" ref="C23:D23" si="0">SUM(C16:C22)</f>
        <v>17</v>
      </c>
      <c r="D23" s="142">
        <f t="shared" si="0"/>
        <v>19</v>
      </c>
      <c r="E23" s="94"/>
      <c r="G23" s="94"/>
      <c r="H23" s="94"/>
    </row>
    <row r="24" spans="1:8" s="91" customFormat="1" ht="14.25" x14ac:dyDescent="0.2">
      <c r="B24" s="93"/>
      <c r="C24" s="93"/>
      <c r="D24" s="93"/>
      <c r="E24" s="94"/>
      <c r="G24" s="94"/>
      <c r="H24" s="94"/>
    </row>
    <row r="25" spans="1:8" s="91" customFormat="1" ht="30" x14ac:dyDescent="0.2">
      <c r="A25" s="156" t="s">
        <v>216</v>
      </c>
      <c r="B25" s="150" t="s">
        <v>195</v>
      </c>
      <c r="C25" s="150" t="s">
        <v>196</v>
      </c>
      <c r="D25" s="150" t="s">
        <v>197</v>
      </c>
      <c r="E25" s="94"/>
      <c r="G25" s="94"/>
      <c r="H25" s="94"/>
    </row>
    <row r="26" spans="1:8" s="91" customFormat="1" ht="14.25" x14ac:dyDescent="0.2">
      <c r="A26" s="151">
        <v>90401</v>
      </c>
      <c r="B26" s="309">
        <v>1</v>
      </c>
      <c r="C26" s="316">
        <v>1</v>
      </c>
      <c r="D26" s="316">
        <v>1</v>
      </c>
      <c r="E26" s="94"/>
      <c r="G26" s="94"/>
      <c r="H26" s="94"/>
    </row>
    <row r="27" spans="1:8" s="91" customFormat="1" ht="14.25" x14ac:dyDescent="0.2">
      <c r="A27" s="151">
        <v>90402</v>
      </c>
      <c r="B27" s="309">
        <v>2</v>
      </c>
      <c r="C27" s="316">
        <v>0</v>
      </c>
      <c r="D27" s="316">
        <v>0</v>
      </c>
      <c r="E27" s="94"/>
      <c r="G27" s="94"/>
      <c r="H27" s="94"/>
    </row>
    <row r="28" spans="1:8" s="91" customFormat="1" ht="14.25" x14ac:dyDescent="0.2">
      <c r="A28" s="151">
        <v>90403</v>
      </c>
      <c r="B28" s="309">
        <v>2</v>
      </c>
      <c r="C28" s="316">
        <v>0</v>
      </c>
      <c r="D28" s="316">
        <v>0</v>
      </c>
      <c r="E28" s="94"/>
      <c r="G28" s="94"/>
      <c r="H28" s="94"/>
    </row>
    <row r="29" spans="1:8" s="91" customFormat="1" ht="14.25" x14ac:dyDescent="0.2">
      <c r="A29" s="151">
        <v>90404</v>
      </c>
      <c r="B29" s="309">
        <v>9</v>
      </c>
      <c r="C29" s="316">
        <v>11</v>
      </c>
      <c r="D29" s="316">
        <v>15</v>
      </c>
      <c r="E29" s="94"/>
      <c r="G29" s="94"/>
      <c r="H29" s="94"/>
    </row>
    <row r="30" spans="1:8" s="91" customFormat="1" ht="14.25" x14ac:dyDescent="0.2">
      <c r="A30" s="151">
        <v>90405</v>
      </c>
      <c r="B30" s="309">
        <v>8</v>
      </c>
      <c r="C30" s="316">
        <v>5</v>
      </c>
      <c r="D30" s="316">
        <v>3</v>
      </c>
      <c r="E30" s="94"/>
      <c r="G30" s="94"/>
      <c r="H30" s="94"/>
    </row>
    <row r="31" spans="1:8" s="91" customFormat="1" ht="14.25" x14ac:dyDescent="0.2">
      <c r="A31" s="151" t="s">
        <v>217</v>
      </c>
      <c r="B31" s="309">
        <v>0</v>
      </c>
      <c r="C31" s="316">
        <v>0</v>
      </c>
      <c r="D31" s="316">
        <v>0</v>
      </c>
      <c r="E31" s="94"/>
      <c r="G31" s="94"/>
      <c r="H31" s="94"/>
    </row>
    <row r="32" spans="1:8" s="91" customFormat="1" ht="15" x14ac:dyDescent="0.2">
      <c r="A32" s="152" t="s">
        <v>215</v>
      </c>
      <c r="B32" s="142">
        <f>SUM(B26:B31)</f>
        <v>22</v>
      </c>
      <c r="C32" s="142">
        <f>SUM(C26:C31)</f>
        <v>17</v>
      </c>
      <c r="D32" s="142">
        <f>SUM(D26:D31)</f>
        <v>19</v>
      </c>
      <c r="E32" s="94"/>
      <c r="G32" s="94"/>
      <c r="H32" s="94"/>
    </row>
    <row r="33" spans="1:9" s="91" customFormat="1" ht="14.25" x14ac:dyDescent="0.2">
      <c r="B33" s="94"/>
      <c r="C33" s="93"/>
      <c r="D33" s="93"/>
      <c r="E33" s="94"/>
      <c r="G33" s="94"/>
      <c r="H33" s="94"/>
    </row>
    <row r="34" spans="1:9" s="91" customFormat="1" ht="30" customHeight="1" x14ac:dyDescent="0.2">
      <c r="A34" s="353" t="s">
        <v>218</v>
      </c>
      <c r="B34" s="355" t="s">
        <v>196</v>
      </c>
      <c r="C34" s="356"/>
      <c r="D34" s="356"/>
      <c r="E34" s="357"/>
      <c r="F34" s="355" t="s">
        <v>197</v>
      </c>
      <c r="G34" s="356"/>
      <c r="H34" s="356"/>
      <c r="I34" s="357"/>
    </row>
    <row r="35" spans="1:9" s="91" customFormat="1" ht="22.5" customHeight="1" x14ac:dyDescent="0.2">
      <c r="A35" s="354"/>
      <c r="B35" s="150" t="s">
        <v>219</v>
      </c>
      <c r="C35" s="150" t="s">
        <v>220</v>
      </c>
      <c r="D35" s="150" t="s">
        <v>221</v>
      </c>
      <c r="E35" s="150" t="s">
        <v>222</v>
      </c>
      <c r="F35" s="150" t="s">
        <v>219</v>
      </c>
      <c r="G35" s="150" t="s">
        <v>220</v>
      </c>
      <c r="H35" s="150" t="s">
        <v>221</v>
      </c>
      <c r="I35" s="150" t="s">
        <v>222</v>
      </c>
    </row>
    <row r="36" spans="1:9" s="91" customFormat="1" ht="14.25" x14ac:dyDescent="0.2">
      <c r="A36" s="143" t="s">
        <v>223</v>
      </c>
      <c r="B36" s="317">
        <v>4</v>
      </c>
      <c r="C36" s="318">
        <v>9</v>
      </c>
      <c r="D36" s="318"/>
      <c r="E36" s="318"/>
      <c r="F36" s="317">
        <v>4</v>
      </c>
      <c r="G36" s="318">
        <v>9</v>
      </c>
      <c r="H36" s="318"/>
      <c r="I36" s="318"/>
    </row>
    <row r="37" spans="1:9" s="91" customFormat="1" ht="14.25" x14ac:dyDescent="0.2">
      <c r="A37" s="144" t="s">
        <v>224</v>
      </c>
      <c r="B37" s="319">
        <v>2</v>
      </c>
      <c r="C37" s="318">
        <v>2</v>
      </c>
      <c r="D37" s="318"/>
      <c r="E37" s="318"/>
      <c r="F37" s="317">
        <v>3</v>
      </c>
      <c r="G37" s="318">
        <v>3</v>
      </c>
      <c r="H37" s="318"/>
      <c r="I37" s="318"/>
    </row>
    <row r="38" spans="1:9" s="91" customFormat="1" ht="14.25" x14ac:dyDescent="0.2">
      <c r="A38" s="144" t="s">
        <v>225</v>
      </c>
      <c r="B38" s="319"/>
      <c r="C38" s="318"/>
      <c r="D38" s="318"/>
      <c r="E38" s="318"/>
      <c r="F38" s="317"/>
      <c r="G38" s="318"/>
      <c r="H38" s="318"/>
      <c r="I38" s="318"/>
    </row>
    <row r="39" spans="1:9" s="91" customFormat="1" ht="14.25" x14ac:dyDescent="0.2">
      <c r="A39" s="143" t="s">
        <v>226</v>
      </c>
      <c r="B39" s="319"/>
      <c r="C39" s="318"/>
      <c r="D39" s="318"/>
      <c r="E39" s="318"/>
      <c r="F39" s="317"/>
      <c r="G39" s="318"/>
      <c r="H39" s="318"/>
      <c r="I39" s="318"/>
    </row>
    <row r="40" spans="1:9" s="91" customFormat="1" ht="14.25" x14ac:dyDescent="0.2">
      <c r="A40" s="143" t="s">
        <v>227</v>
      </c>
      <c r="B40" s="319"/>
      <c r="C40" s="318"/>
      <c r="D40" s="318"/>
      <c r="E40" s="318"/>
      <c r="F40" s="317"/>
      <c r="G40" s="318"/>
      <c r="H40" s="318"/>
      <c r="I40" s="318"/>
    </row>
    <row r="41" spans="1:9" s="91" customFormat="1" ht="14.25" x14ac:dyDescent="0.2">
      <c r="A41" s="143" t="s">
        <v>228</v>
      </c>
      <c r="B41" s="319"/>
      <c r="C41" s="318"/>
      <c r="D41" s="318"/>
      <c r="E41" s="318"/>
      <c r="F41" s="317"/>
      <c r="G41" s="318"/>
      <c r="H41" s="318"/>
      <c r="I41" s="318"/>
    </row>
    <row r="42" spans="1:9" s="91" customFormat="1" ht="14.25" x14ac:dyDescent="0.2">
      <c r="A42" s="143" t="s">
        <v>229</v>
      </c>
      <c r="B42" s="319"/>
      <c r="C42" s="318"/>
      <c r="D42" s="318"/>
      <c r="E42" s="318"/>
      <c r="F42" s="317"/>
      <c r="G42" s="318"/>
      <c r="H42" s="318"/>
      <c r="I42" s="318"/>
    </row>
    <row r="43" spans="1:9" s="91" customFormat="1" ht="14.25" x14ac:dyDescent="0.2">
      <c r="A43" s="143" t="s">
        <v>230</v>
      </c>
      <c r="B43" s="319"/>
      <c r="C43" s="318"/>
      <c r="D43" s="318"/>
      <c r="E43" s="318"/>
      <c r="F43" s="317"/>
      <c r="G43" s="318"/>
      <c r="H43" s="318"/>
      <c r="I43" s="318"/>
    </row>
    <row r="44" spans="1:9" s="91" customFormat="1" ht="14.25" x14ac:dyDescent="0.2">
      <c r="A44" s="143" t="s">
        <v>231</v>
      </c>
      <c r="B44" s="319"/>
      <c r="C44" s="318"/>
      <c r="D44" s="318"/>
      <c r="E44" s="318"/>
      <c r="F44" s="317"/>
      <c r="G44" s="318"/>
      <c r="H44" s="318"/>
      <c r="I44" s="318"/>
    </row>
    <row r="45" spans="1:9" s="91" customFormat="1" ht="14.25" x14ac:dyDescent="0.2">
      <c r="A45" s="143" t="s">
        <v>232</v>
      </c>
      <c r="B45" s="319"/>
      <c r="C45" s="318"/>
      <c r="D45" s="318"/>
      <c r="E45" s="318"/>
      <c r="F45" s="317"/>
      <c r="G45" s="318"/>
      <c r="H45" s="318"/>
      <c r="I45" s="318"/>
    </row>
    <row r="46" spans="1:9" s="91" customFormat="1" ht="14.25" x14ac:dyDescent="0.2">
      <c r="A46" s="143" t="s">
        <v>233</v>
      </c>
      <c r="B46" s="319"/>
      <c r="C46" s="318"/>
      <c r="D46" s="318"/>
      <c r="E46" s="318"/>
      <c r="F46" s="317"/>
      <c r="G46" s="318"/>
      <c r="H46" s="318"/>
      <c r="I46" s="318"/>
    </row>
    <row r="47" spans="1:9" ht="15" x14ac:dyDescent="0.2">
      <c r="A47" s="145" t="s">
        <v>215</v>
      </c>
      <c r="B47" s="235">
        <f t="shared" ref="B47:I47" si="1">SUM(B36:B46)</f>
        <v>6</v>
      </c>
      <c r="C47" s="235">
        <f t="shared" si="1"/>
        <v>11</v>
      </c>
      <c r="D47" s="235">
        <f t="shared" si="1"/>
        <v>0</v>
      </c>
      <c r="E47" s="235">
        <f t="shared" si="1"/>
        <v>0</v>
      </c>
      <c r="F47" s="235">
        <f t="shared" si="1"/>
        <v>7</v>
      </c>
      <c r="G47" s="235">
        <f t="shared" si="1"/>
        <v>12</v>
      </c>
      <c r="H47" s="235">
        <f t="shared" si="1"/>
        <v>0</v>
      </c>
      <c r="I47" s="235">
        <f t="shared" si="1"/>
        <v>0</v>
      </c>
    </row>
    <row r="48" spans="1:9" x14ac:dyDescent="0.2">
      <c r="A48" s="86"/>
      <c r="B48" s="87"/>
      <c r="C48" s="42"/>
      <c r="D48" s="87"/>
      <c r="E48" s="87"/>
    </row>
    <row r="49" spans="1:3" ht="45" x14ac:dyDescent="0.2">
      <c r="A49" s="156" t="s">
        <v>234</v>
      </c>
      <c r="B49" s="232" t="s">
        <v>195</v>
      </c>
      <c r="C49" s="233" t="s">
        <v>235</v>
      </c>
    </row>
    <row r="50" spans="1:3" ht="14.25" x14ac:dyDescent="0.2">
      <c r="A50" s="234"/>
      <c r="B50" s="236">
        <f>IFERROR(('PROGRAM BUDGET &amp; FISCAL REPORT'!G13/'PARTICIPANTS &amp; DEMOGRAPHICS'!B6),"N/A")</f>
        <v>11302.427070268071</v>
      </c>
      <c r="C50" s="236">
        <f>IFERROR(('PROGRAM BUDGET &amp; FISCAL REPORT'!N13/'PARTICIPANTS &amp; DEMOGRAPHICS'!D6),"N/A")</f>
        <v>29458.157894736843</v>
      </c>
    </row>
  </sheetData>
  <sheetProtection algorithmName="SHA-512" hashValue="wKanT8Jbqk6thNUQe+rmDMKjTTykiE8/s7hRmfDCx63gDpOv7z0MXGsZYMaiDoAl4cGr/ZMPur+YwKsGQ55HQg==" saltValue="AyU9EITHZeEcqhHpFGyZhQ=="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C2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8" hidden="1" customWidth="1"/>
    <col min="2" max="2" width="48.85546875" style="88" customWidth="1"/>
    <col min="3" max="3" width="15.42578125" style="90" customWidth="1"/>
    <col min="4" max="4" width="19.140625" style="90" customWidth="1"/>
    <col min="5" max="5" width="19.7109375" style="90" customWidth="1"/>
    <col min="6" max="6" width="19.42578125" style="90" customWidth="1"/>
    <col min="7" max="7" width="31.42578125" style="90" customWidth="1"/>
    <col min="8" max="16384" width="11.42578125" style="88"/>
  </cols>
  <sheetData>
    <row r="1" spans="1:8" ht="18" x14ac:dyDescent="0.25">
      <c r="A1" s="40"/>
      <c r="B1" s="64" t="s">
        <v>34</v>
      </c>
      <c r="C1" s="97"/>
      <c r="D1" s="97"/>
      <c r="E1" s="97"/>
      <c r="F1" s="97"/>
      <c r="G1" s="88"/>
    </row>
    <row r="2" spans="1:8" ht="18" x14ac:dyDescent="0.25">
      <c r="A2" s="40"/>
      <c r="B2" s="64" t="s">
        <v>236</v>
      </c>
      <c r="C2" s="98"/>
      <c r="D2" s="98"/>
      <c r="E2" s="98"/>
      <c r="F2" s="98"/>
      <c r="G2" s="88"/>
    </row>
    <row r="3" spans="1:8" ht="22.5" customHeight="1" x14ac:dyDescent="0.25">
      <c r="A3" s="40"/>
      <c r="B3" s="69" t="str">
        <f>'PROGRAM BUDGET &amp; FISCAL REPORT'!A6</f>
        <v>AGENCY NAME:</v>
      </c>
      <c r="C3" s="237" t="str">
        <f>'PROGRAM BUDGET &amp; FISCAL REPORT'!B6</f>
        <v>Vista Del Mar Child &amp; Family Service/Family Services of Santa Monica</v>
      </c>
      <c r="D3" s="238"/>
      <c r="E3" s="238"/>
      <c r="F3" s="239"/>
      <c r="G3" s="88"/>
    </row>
    <row r="4" spans="1:8" ht="22.5" customHeight="1" x14ac:dyDescent="0.25">
      <c r="A4" s="40"/>
      <c r="B4" s="69" t="str">
        <f>'PROGRAM BUDGET &amp; FISCAL REPORT'!A7</f>
        <v>PROGRAM NAME:</v>
      </c>
      <c r="C4" s="240" t="str">
        <f>'PROGRAM BUDGET &amp; FISCAL REPORT'!B7</f>
        <v>Early Childhood Wellbeing Program</v>
      </c>
      <c r="D4" s="241"/>
      <c r="E4" s="241"/>
      <c r="F4" s="242"/>
      <c r="G4" s="88"/>
    </row>
    <row r="5" spans="1:8" ht="8.25" customHeight="1" thickBot="1" x14ac:dyDescent="0.25">
      <c r="A5" s="40"/>
      <c r="B5" s="65"/>
      <c r="C5" s="98"/>
      <c r="D5" s="98"/>
      <c r="E5" s="98"/>
      <c r="F5" s="98"/>
      <c r="G5" s="88"/>
    </row>
    <row r="6" spans="1:8" ht="52.5" customHeight="1" x14ac:dyDescent="0.55000000000000004">
      <c r="B6" s="99" t="s">
        <v>237</v>
      </c>
      <c r="C6" s="100" t="s">
        <v>238</v>
      </c>
      <c r="D6" s="100"/>
      <c r="E6" s="100" t="s">
        <v>239</v>
      </c>
      <c r="F6" s="101"/>
      <c r="G6" s="88"/>
    </row>
    <row r="7" spans="1:8" ht="14.25" x14ac:dyDescent="0.2">
      <c r="B7" s="102" t="s">
        <v>240</v>
      </c>
      <c r="C7" s="103">
        <f>'PARTICIPANTS &amp; DEMOGRAPHICS'!B6</f>
        <v>22</v>
      </c>
      <c r="D7" s="104"/>
      <c r="E7" s="104">
        <f>'PARTICIPANTS &amp; DEMOGRAPHICS'!D6</f>
        <v>19</v>
      </c>
      <c r="F7" s="105"/>
      <c r="G7" s="88"/>
    </row>
    <row r="8" spans="1:8" ht="14.25" x14ac:dyDescent="0.2">
      <c r="B8" s="106" t="s">
        <v>241</v>
      </c>
      <c r="C8" s="103">
        <f>'PARTICIPANTS &amp; DEMOGRAPHICS'!B7</f>
        <v>22</v>
      </c>
      <c r="D8" s="104"/>
      <c r="E8" s="104">
        <f>'PARTICIPANTS &amp; DEMOGRAPHICS'!D7</f>
        <v>19</v>
      </c>
      <c r="F8" s="105"/>
      <c r="G8" s="88"/>
    </row>
    <row r="9" spans="1:8" ht="14.25" x14ac:dyDescent="0.2">
      <c r="B9" s="102" t="s">
        <v>242</v>
      </c>
      <c r="C9" s="141">
        <f>IFERROR(C8/C7, "N/A")</f>
        <v>1</v>
      </c>
      <c r="D9" s="108"/>
      <c r="E9" s="248">
        <f>IFERROR(E8/E7, "N/A")</f>
        <v>1</v>
      </c>
      <c r="F9" s="105"/>
      <c r="G9" s="88"/>
    </row>
    <row r="10" spans="1:8" ht="14.25" x14ac:dyDescent="0.2">
      <c r="B10" s="102"/>
      <c r="C10" s="107"/>
      <c r="D10" s="108"/>
      <c r="E10" s="103"/>
      <c r="F10" s="105"/>
      <c r="G10" s="88"/>
    </row>
    <row r="11" spans="1:8" ht="63.75" customHeight="1" x14ac:dyDescent="0.55000000000000004">
      <c r="B11" s="109" t="s">
        <v>243</v>
      </c>
      <c r="C11" s="310" t="s">
        <v>244</v>
      </c>
      <c r="D11" s="310" t="s">
        <v>245</v>
      </c>
      <c r="E11" s="310" t="s">
        <v>246</v>
      </c>
      <c r="F11" s="311" t="s">
        <v>247</v>
      </c>
      <c r="G11" s="88"/>
    </row>
    <row r="12" spans="1:8" ht="16.5" customHeight="1" x14ac:dyDescent="0.2">
      <c r="B12" s="102" t="s">
        <v>248</v>
      </c>
      <c r="C12" s="243">
        <f>'PROGRAM BUDGET &amp; FISCAL REPORT'!G13</f>
        <v>248653.39554589757</v>
      </c>
      <c r="D12" s="243">
        <f>'PROGRAM BUDGET &amp; FISCAL REPORT'!H13</f>
        <v>144891.43</v>
      </c>
      <c r="E12" s="243">
        <f>'PROGRAM BUDGET &amp; FISCAL REPORT'!N13</f>
        <v>559705</v>
      </c>
      <c r="F12" s="244">
        <f>'PROGRAM BUDGET &amp; FISCAL REPORT'!L13</f>
        <v>144891.47099999999</v>
      </c>
      <c r="G12" s="88"/>
    </row>
    <row r="13" spans="1:8" ht="16.5" customHeight="1" x14ac:dyDescent="0.2">
      <c r="B13" s="102"/>
      <c r="C13" s="110"/>
      <c r="D13" s="110"/>
      <c r="E13" s="110"/>
      <c r="F13" s="111"/>
      <c r="G13" s="88"/>
    </row>
    <row r="14" spans="1:8" ht="19.5" x14ac:dyDescent="0.55000000000000004">
      <c r="B14" s="109" t="s">
        <v>249</v>
      </c>
      <c r="C14" s="358" t="s">
        <v>250</v>
      </c>
      <c r="D14" s="358"/>
      <c r="E14" s="358" t="s">
        <v>251</v>
      </c>
      <c r="F14" s="359"/>
      <c r="G14" s="88"/>
    </row>
    <row r="15" spans="1:8" ht="14.25" x14ac:dyDescent="0.2">
      <c r="B15" s="102" t="s">
        <v>252</v>
      </c>
      <c r="C15" s="245">
        <f>IFERROR(C12*C9,"N/A")</f>
        <v>248653.39554589757</v>
      </c>
      <c r="D15" s="112">
        <f>IFERROR(C15/C12,"N/A")</f>
        <v>1</v>
      </c>
      <c r="E15" s="246">
        <f>IFERROR(E12*E9,"N/A")</f>
        <v>559705</v>
      </c>
      <c r="F15" s="114">
        <f>IFERROR(E15/E12,"N/A")</f>
        <v>1</v>
      </c>
      <c r="G15" s="88"/>
    </row>
    <row r="16" spans="1:8" ht="14.25" x14ac:dyDescent="0.2">
      <c r="B16" s="102" t="s">
        <v>253</v>
      </c>
      <c r="C16" s="245">
        <f>D12</f>
        <v>144891.43</v>
      </c>
      <c r="D16" s="112">
        <f>IFERROR(C16/C15, "N/A")</f>
        <v>0.5827044094125603</v>
      </c>
      <c r="E16" s="246">
        <f>F12</f>
        <v>144891.47099999999</v>
      </c>
      <c r="F16" s="114">
        <f>IFERROR(E16/E15, "N/A")</f>
        <v>0.25887113926086064</v>
      </c>
      <c r="G16" s="88"/>
      <c r="H16" s="89"/>
    </row>
    <row r="17" spans="2:7" ht="15" thickBot="1" x14ac:dyDescent="0.25">
      <c r="B17" s="102"/>
      <c r="C17" s="66"/>
      <c r="D17" s="112"/>
      <c r="E17" s="113"/>
      <c r="F17" s="114"/>
      <c r="G17" s="88"/>
    </row>
    <row r="18" spans="2:7" ht="15.75" thickBot="1" x14ac:dyDescent="0.3">
      <c r="B18" s="115" t="s">
        <v>254</v>
      </c>
      <c r="C18" s="247">
        <f>IFERROR(C15-C16,"N/A")</f>
        <v>103761.96554589758</v>
      </c>
      <c r="D18" s="116">
        <f>IFERROR(C18/C15, "N/A")</f>
        <v>0.4172955905874397</v>
      </c>
      <c r="E18" s="247">
        <f>IFERROR(E15-E16, "N/A")</f>
        <v>414813.52899999998</v>
      </c>
      <c r="F18" s="117">
        <f>IFERROR(E18/E15, "N/A")</f>
        <v>0.74112886073913931</v>
      </c>
      <c r="G18" s="88"/>
    </row>
    <row r="19" spans="2:7" ht="30.75" thickBot="1" x14ac:dyDescent="0.3">
      <c r="B19" s="102"/>
      <c r="C19" s="118"/>
      <c r="D19" s="119" t="s">
        <v>255</v>
      </c>
      <c r="E19" s="104"/>
      <c r="F19" s="119" t="s">
        <v>255</v>
      </c>
    </row>
    <row r="20" spans="2:7" s="71" customFormat="1" ht="12.75" x14ac:dyDescent="0.2">
      <c r="B20" s="120"/>
      <c r="C20" s="79"/>
      <c r="D20" s="79"/>
      <c r="E20" s="79"/>
      <c r="F20" s="79"/>
      <c r="G20" s="90"/>
    </row>
  </sheetData>
  <sheetProtection algorithmName="SHA-512" hashValue="1NGbAHzRa6NKAQP4JTVJmQ/PeBNmseMMt7uXZRG/AgZVRR2fy7hvyIX4/bEdd01AYzQbNaXR7G/JEWG0dlTRHg==" saltValue="sHqNQ2PI0MnJIZWlgZLHyw=="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C2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codeName="Sheet4">
    <tabColor theme="3" tint="0.59999389629810485"/>
  </sheetPr>
  <dimension ref="A1:G36"/>
  <sheetViews>
    <sheetView zoomScaleNormal="100" workbookViewId="0">
      <selection activeCell="E1" sqref="E1"/>
    </sheetView>
  </sheetViews>
  <sheetFormatPr defaultRowHeight="12.75" x14ac:dyDescent="0.2"/>
  <cols>
    <col min="1" max="1" width="12.28515625" style="208" customWidth="1"/>
    <col min="2" max="2" width="33.7109375" style="208" customWidth="1"/>
    <col min="3" max="4" width="16.42578125" style="208" customWidth="1"/>
    <col min="5" max="5" width="36.85546875" style="208" customWidth="1"/>
    <col min="6" max="6" width="9.140625" style="208"/>
    <col min="7" max="7" width="9.7109375" style="208" customWidth="1"/>
    <col min="8" max="253" width="9.140625" style="208"/>
    <col min="254" max="254" width="12.28515625" style="208" customWidth="1"/>
    <col min="255" max="255" width="21" style="208" customWidth="1"/>
    <col min="256" max="256" width="15.42578125" style="208" customWidth="1"/>
    <col min="257" max="259" width="12.85546875" style="208" customWidth="1"/>
    <col min="260" max="260" width="9.140625" style="208"/>
    <col min="261" max="261" width="15.42578125" style="208" customWidth="1"/>
    <col min="262" max="262" width="9.140625" style="208"/>
    <col min="263" max="263" width="9.7109375" style="208" customWidth="1"/>
    <col min="264" max="509" width="9.140625" style="208"/>
    <col min="510" max="510" width="12.28515625" style="208" customWidth="1"/>
    <col min="511" max="511" width="21" style="208" customWidth="1"/>
    <col min="512" max="512" width="15.42578125" style="208" customWidth="1"/>
    <col min="513" max="515" width="12.85546875" style="208" customWidth="1"/>
    <col min="516" max="516" width="9.140625" style="208"/>
    <col min="517" max="517" width="15.42578125" style="208" customWidth="1"/>
    <col min="518" max="518" width="9.140625" style="208"/>
    <col min="519" max="519" width="9.7109375" style="208" customWidth="1"/>
    <col min="520" max="765" width="9.140625" style="208"/>
    <col min="766" max="766" width="12.28515625" style="208" customWidth="1"/>
    <col min="767" max="767" width="21" style="208" customWidth="1"/>
    <col min="768" max="768" width="15.42578125" style="208" customWidth="1"/>
    <col min="769" max="771" width="12.85546875" style="208" customWidth="1"/>
    <col min="772" max="772" width="9.140625" style="208"/>
    <col min="773" max="773" width="15.42578125" style="208" customWidth="1"/>
    <col min="774" max="774" width="9.140625" style="208"/>
    <col min="775" max="775" width="9.7109375" style="208" customWidth="1"/>
    <col min="776" max="1021" width="9.140625" style="208"/>
    <col min="1022" max="1022" width="12.28515625" style="208" customWidth="1"/>
    <col min="1023" max="1023" width="21" style="208" customWidth="1"/>
    <col min="1024" max="1024" width="15.42578125" style="208" customWidth="1"/>
    <col min="1025" max="1027" width="12.85546875" style="208" customWidth="1"/>
    <col min="1028" max="1028" width="9.140625" style="208"/>
    <col min="1029" max="1029" width="15.42578125" style="208" customWidth="1"/>
    <col min="1030" max="1030" width="9.140625" style="208"/>
    <col min="1031" max="1031" width="9.7109375" style="208" customWidth="1"/>
    <col min="1032" max="1277" width="9.140625" style="208"/>
    <col min="1278" max="1278" width="12.28515625" style="208" customWidth="1"/>
    <col min="1279" max="1279" width="21" style="208" customWidth="1"/>
    <col min="1280" max="1280" width="15.42578125" style="208" customWidth="1"/>
    <col min="1281" max="1283" width="12.85546875" style="208" customWidth="1"/>
    <col min="1284" max="1284" width="9.140625" style="208"/>
    <col min="1285" max="1285" width="15.42578125" style="208" customWidth="1"/>
    <col min="1286" max="1286" width="9.140625" style="208"/>
    <col min="1287" max="1287" width="9.7109375" style="208" customWidth="1"/>
    <col min="1288" max="1533" width="9.140625" style="208"/>
    <col min="1534" max="1534" width="12.28515625" style="208" customWidth="1"/>
    <col min="1535" max="1535" width="21" style="208" customWidth="1"/>
    <col min="1536" max="1536" width="15.42578125" style="208" customWidth="1"/>
    <col min="1537" max="1539" width="12.85546875" style="208" customWidth="1"/>
    <col min="1540" max="1540" width="9.140625" style="208"/>
    <col min="1541" max="1541" width="15.42578125" style="208" customWidth="1"/>
    <col min="1542" max="1542" width="9.140625" style="208"/>
    <col min="1543" max="1543" width="9.7109375" style="208" customWidth="1"/>
    <col min="1544" max="1789" width="9.140625" style="208"/>
    <col min="1790" max="1790" width="12.28515625" style="208" customWidth="1"/>
    <col min="1791" max="1791" width="21" style="208" customWidth="1"/>
    <col min="1792" max="1792" width="15.42578125" style="208" customWidth="1"/>
    <col min="1793" max="1795" width="12.85546875" style="208" customWidth="1"/>
    <col min="1796" max="1796" width="9.140625" style="208"/>
    <col min="1797" max="1797" width="15.42578125" style="208" customWidth="1"/>
    <col min="1798" max="1798" width="9.140625" style="208"/>
    <col min="1799" max="1799" width="9.7109375" style="208" customWidth="1"/>
    <col min="1800" max="2045" width="9.140625" style="208"/>
    <col min="2046" max="2046" width="12.28515625" style="208" customWidth="1"/>
    <col min="2047" max="2047" width="21" style="208" customWidth="1"/>
    <col min="2048" max="2048" width="15.42578125" style="208" customWidth="1"/>
    <col min="2049" max="2051" width="12.85546875" style="208" customWidth="1"/>
    <col min="2052" max="2052" width="9.140625" style="208"/>
    <col min="2053" max="2053" width="15.42578125" style="208" customWidth="1"/>
    <col min="2054" max="2054" width="9.140625" style="208"/>
    <col min="2055" max="2055" width="9.7109375" style="208" customWidth="1"/>
    <col min="2056" max="2301" width="9.140625" style="208"/>
    <col min="2302" max="2302" width="12.28515625" style="208" customWidth="1"/>
    <col min="2303" max="2303" width="21" style="208" customWidth="1"/>
    <col min="2304" max="2304" width="15.42578125" style="208" customWidth="1"/>
    <col min="2305" max="2307" width="12.85546875" style="208" customWidth="1"/>
    <col min="2308" max="2308" width="9.140625" style="208"/>
    <col min="2309" max="2309" width="15.42578125" style="208" customWidth="1"/>
    <col min="2310" max="2310" width="9.140625" style="208"/>
    <col min="2311" max="2311" width="9.7109375" style="208" customWidth="1"/>
    <col min="2312" max="2557" width="9.140625" style="208"/>
    <col min="2558" max="2558" width="12.28515625" style="208" customWidth="1"/>
    <col min="2559" max="2559" width="21" style="208" customWidth="1"/>
    <col min="2560" max="2560" width="15.42578125" style="208" customWidth="1"/>
    <col min="2561" max="2563" width="12.85546875" style="208" customWidth="1"/>
    <col min="2564" max="2564" width="9.140625" style="208"/>
    <col min="2565" max="2565" width="15.42578125" style="208" customWidth="1"/>
    <col min="2566" max="2566" width="9.140625" style="208"/>
    <col min="2567" max="2567" width="9.7109375" style="208" customWidth="1"/>
    <col min="2568" max="2813" width="9.140625" style="208"/>
    <col min="2814" max="2814" width="12.28515625" style="208" customWidth="1"/>
    <col min="2815" max="2815" width="21" style="208" customWidth="1"/>
    <col min="2816" max="2816" width="15.42578125" style="208" customWidth="1"/>
    <col min="2817" max="2819" width="12.85546875" style="208" customWidth="1"/>
    <col min="2820" max="2820" width="9.140625" style="208"/>
    <col min="2821" max="2821" width="15.42578125" style="208" customWidth="1"/>
    <col min="2822" max="2822" width="9.140625" style="208"/>
    <col min="2823" max="2823" width="9.7109375" style="208" customWidth="1"/>
    <col min="2824" max="3069" width="9.140625" style="208"/>
    <col min="3070" max="3070" width="12.28515625" style="208" customWidth="1"/>
    <col min="3071" max="3071" width="21" style="208" customWidth="1"/>
    <col min="3072" max="3072" width="15.42578125" style="208" customWidth="1"/>
    <col min="3073" max="3075" width="12.85546875" style="208" customWidth="1"/>
    <col min="3076" max="3076" width="9.140625" style="208"/>
    <col min="3077" max="3077" width="15.42578125" style="208" customWidth="1"/>
    <col min="3078" max="3078" width="9.140625" style="208"/>
    <col min="3079" max="3079" width="9.7109375" style="208" customWidth="1"/>
    <col min="3080" max="3325" width="9.140625" style="208"/>
    <col min="3326" max="3326" width="12.28515625" style="208" customWidth="1"/>
    <col min="3327" max="3327" width="21" style="208" customWidth="1"/>
    <col min="3328" max="3328" width="15.42578125" style="208" customWidth="1"/>
    <col min="3329" max="3331" width="12.85546875" style="208" customWidth="1"/>
    <col min="3332" max="3332" width="9.140625" style="208"/>
    <col min="3333" max="3333" width="15.42578125" style="208" customWidth="1"/>
    <col min="3334" max="3334" width="9.140625" style="208"/>
    <col min="3335" max="3335" width="9.7109375" style="208" customWidth="1"/>
    <col min="3336" max="3581" width="9.140625" style="208"/>
    <col min="3582" max="3582" width="12.28515625" style="208" customWidth="1"/>
    <col min="3583" max="3583" width="21" style="208" customWidth="1"/>
    <col min="3584" max="3584" width="15.42578125" style="208" customWidth="1"/>
    <col min="3585" max="3587" width="12.85546875" style="208" customWidth="1"/>
    <col min="3588" max="3588" width="9.140625" style="208"/>
    <col min="3589" max="3589" width="15.42578125" style="208" customWidth="1"/>
    <col min="3590" max="3590" width="9.140625" style="208"/>
    <col min="3591" max="3591" width="9.7109375" style="208" customWidth="1"/>
    <col min="3592" max="3837" width="9.140625" style="208"/>
    <col min="3838" max="3838" width="12.28515625" style="208" customWidth="1"/>
    <col min="3839" max="3839" width="21" style="208" customWidth="1"/>
    <col min="3840" max="3840" width="15.42578125" style="208" customWidth="1"/>
    <col min="3841" max="3843" width="12.85546875" style="208" customWidth="1"/>
    <col min="3844" max="3844" width="9.140625" style="208"/>
    <col min="3845" max="3845" width="15.42578125" style="208" customWidth="1"/>
    <col min="3846" max="3846" width="9.140625" style="208"/>
    <col min="3847" max="3847" width="9.7109375" style="208" customWidth="1"/>
    <col min="3848" max="4093" width="9.140625" style="208"/>
    <col min="4094" max="4094" width="12.28515625" style="208" customWidth="1"/>
    <col min="4095" max="4095" width="21" style="208" customWidth="1"/>
    <col min="4096" max="4096" width="15.42578125" style="208" customWidth="1"/>
    <col min="4097" max="4099" width="12.85546875" style="208" customWidth="1"/>
    <col min="4100" max="4100" width="9.140625" style="208"/>
    <col min="4101" max="4101" width="15.42578125" style="208" customWidth="1"/>
    <col min="4102" max="4102" width="9.140625" style="208"/>
    <col min="4103" max="4103" width="9.7109375" style="208" customWidth="1"/>
    <col min="4104" max="4349" width="9.140625" style="208"/>
    <col min="4350" max="4350" width="12.28515625" style="208" customWidth="1"/>
    <col min="4351" max="4351" width="21" style="208" customWidth="1"/>
    <col min="4352" max="4352" width="15.42578125" style="208" customWidth="1"/>
    <col min="4353" max="4355" width="12.85546875" style="208" customWidth="1"/>
    <col min="4356" max="4356" width="9.140625" style="208"/>
    <col min="4357" max="4357" width="15.42578125" style="208" customWidth="1"/>
    <col min="4358" max="4358" width="9.140625" style="208"/>
    <col min="4359" max="4359" width="9.7109375" style="208" customWidth="1"/>
    <col min="4360" max="4605" width="9.140625" style="208"/>
    <col min="4606" max="4606" width="12.28515625" style="208" customWidth="1"/>
    <col min="4607" max="4607" width="21" style="208" customWidth="1"/>
    <col min="4608" max="4608" width="15.42578125" style="208" customWidth="1"/>
    <col min="4609" max="4611" width="12.85546875" style="208" customWidth="1"/>
    <col min="4612" max="4612" width="9.140625" style="208"/>
    <col min="4613" max="4613" width="15.42578125" style="208" customWidth="1"/>
    <col min="4614" max="4614" width="9.140625" style="208"/>
    <col min="4615" max="4615" width="9.7109375" style="208" customWidth="1"/>
    <col min="4616" max="4861" width="9.140625" style="208"/>
    <col min="4862" max="4862" width="12.28515625" style="208" customWidth="1"/>
    <col min="4863" max="4863" width="21" style="208" customWidth="1"/>
    <col min="4864" max="4864" width="15.42578125" style="208" customWidth="1"/>
    <col min="4865" max="4867" width="12.85546875" style="208" customWidth="1"/>
    <col min="4868" max="4868" width="9.140625" style="208"/>
    <col min="4869" max="4869" width="15.42578125" style="208" customWidth="1"/>
    <col min="4870" max="4870" width="9.140625" style="208"/>
    <col min="4871" max="4871" width="9.7109375" style="208" customWidth="1"/>
    <col min="4872" max="5117" width="9.140625" style="208"/>
    <col min="5118" max="5118" width="12.28515625" style="208" customWidth="1"/>
    <col min="5119" max="5119" width="21" style="208" customWidth="1"/>
    <col min="5120" max="5120" width="15.42578125" style="208" customWidth="1"/>
    <col min="5121" max="5123" width="12.85546875" style="208" customWidth="1"/>
    <col min="5124" max="5124" width="9.140625" style="208"/>
    <col min="5125" max="5125" width="15.42578125" style="208" customWidth="1"/>
    <col min="5126" max="5126" width="9.140625" style="208"/>
    <col min="5127" max="5127" width="9.7109375" style="208" customWidth="1"/>
    <col min="5128" max="5373" width="9.140625" style="208"/>
    <col min="5374" max="5374" width="12.28515625" style="208" customWidth="1"/>
    <col min="5375" max="5375" width="21" style="208" customWidth="1"/>
    <col min="5376" max="5376" width="15.42578125" style="208" customWidth="1"/>
    <col min="5377" max="5379" width="12.85546875" style="208" customWidth="1"/>
    <col min="5380" max="5380" width="9.140625" style="208"/>
    <col min="5381" max="5381" width="15.42578125" style="208" customWidth="1"/>
    <col min="5382" max="5382" width="9.140625" style="208"/>
    <col min="5383" max="5383" width="9.7109375" style="208" customWidth="1"/>
    <col min="5384" max="5629" width="9.140625" style="208"/>
    <col min="5630" max="5630" width="12.28515625" style="208" customWidth="1"/>
    <col min="5631" max="5631" width="21" style="208" customWidth="1"/>
    <col min="5632" max="5632" width="15.42578125" style="208" customWidth="1"/>
    <col min="5633" max="5635" width="12.85546875" style="208" customWidth="1"/>
    <col min="5636" max="5636" width="9.140625" style="208"/>
    <col min="5637" max="5637" width="15.42578125" style="208" customWidth="1"/>
    <col min="5638" max="5638" width="9.140625" style="208"/>
    <col min="5639" max="5639" width="9.7109375" style="208" customWidth="1"/>
    <col min="5640" max="5885" width="9.140625" style="208"/>
    <col min="5886" max="5886" width="12.28515625" style="208" customWidth="1"/>
    <col min="5887" max="5887" width="21" style="208" customWidth="1"/>
    <col min="5888" max="5888" width="15.42578125" style="208" customWidth="1"/>
    <col min="5889" max="5891" width="12.85546875" style="208" customWidth="1"/>
    <col min="5892" max="5892" width="9.140625" style="208"/>
    <col min="5893" max="5893" width="15.42578125" style="208" customWidth="1"/>
    <col min="5894" max="5894" width="9.140625" style="208"/>
    <col min="5895" max="5895" width="9.7109375" style="208" customWidth="1"/>
    <col min="5896" max="6141" width="9.140625" style="208"/>
    <col min="6142" max="6142" width="12.28515625" style="208" customWidth="1"/>
    <col min="6143" max="6143" width="21" style="208" customWidth="1"/>
    <col min="6144" max="6144" width="15.42578125" style="208" customWidth="1"/>
    <col min="6145" max="6147" width="12.85546875" style="208" customWidth="1"/>
    <col min="6148" max="6148" width="9.140625" style="208"/>
    <col min="6149" max="6149" width="15.42578125" style="208" customWidth="1"/>
    <col min="6150" max="6150" width="9.140625" style="208"/>
    <col min="6151" max="6151" width="9.7109375" style="208" customWidth="1"/>
    <col min="6152" max="6397" width="9.140625" style="208"/>
    <col min="6398" max="6398" width="12.28515625" style="208" customWidth="1"/>
    <col min="6399" max="6399" width="21" style="208" customWidth="1"/>
    <col min="6400" max="6400" width="15.42578125" style="208" customWidth="1"/>
    <col min="6401" max="6403" width="12.85546875" style="208" customWidth="1"/>
    <col min="6404" max="6404" width="9.140625" style="208"/>
    <col min="6405" max="6405" width="15.42578125" style="208" customWidth="1"/>
    <col min="6406" max="6406" width="9.140625" style="208"/>
    <col min="6407" max="6407" width="9.7109375" style="208" customWidth="1"/>
    <col min="6408" max="6653" width="9.140625" style="208"/>
    <col min="6654" max="6654" width="12.28515625" style="208" customWidth="1"/>
    <col min="6655" max="6655" width="21" style="208" customWidth="1"/>
    <col min="6656" max="6656" width="15.42578125" style="208" customWidth="1"/>
    <col min="6657" max="6659" width="12.85546875" style="208" customWidth="1"/>
    <col min="6660" max="6660" width="9.140625" style="208"/>
    <col min="6661" max="6661" width="15.42578125" style="208" customWidth="1"/>
    <col min="6662" max="6662" width="9.140625" style="208"/>
    <col min="6663" max="6663" width="9.7109375" style="208" customWidth="1"/>
    <col min="6664" max="6909" width="9.140625" style="208"/>
    <col min="6910" max="6910" width="12.28515625" style="208" customWidth="1"/>
    <col min="6911" max="6911" width="21" style="208" customWidth="1"/>
    <col min="6912" max="6912" width="15.42578125" style="208" customWidth="1"/>
    <col min="6913" max="6915" width="12.85546875" style="208" customWidth="1"/>
    <col min="6916" max="6916" width="9.140625" style="208"/>
    <col min="6917" max="6917" width="15.42578125" style="208" customWidth="1"/>
    <col min="6918" max="6918" width="9.140625" style="208"/>
    <col min="6919" max="6919" width="9.7109375" style="208" customWidth="1"/>
    <col min="6920" max="7165" width="9.140625" style="208"/>
    <col min="7166" max="7166" width="12.28515625" style="208" customWidth="1"/>
    <col min="7167" max="7167" width="21" style="208" customWidth="1"/>
    <col min="7168" max="7168" width="15.42578125" style="208" customWidth="1"/>
    <col min="7169" max="7171" width="12.85546875" style="208" customWidth="1"/>
    <col min="7172" max="7172" width="9.140625" style="208"/>
    <col min="7173" max="7173" width="15.42578125" style="208" customWidth="1"/>
    <col min="7174" max="7174" width="9.140625" style="208"/>
    <col min="7175" max="7175" width="9.7109375" style="208" customWidth="1"/>
    <col min="7176" max="7421" width="9.140625" style="208"/>
    <col min="7422" max="7422" width="12.28515625" style="208" customWidth="1"/>
    <col min="7423" max="7423" width="21" style="208" customWidth="1"/>
    <col min="7424" max="7424" width="15.42578125" style="208" customWidth="1"/>
    <col min="7425" max="7427" width="12.85546875" style="208" customWidth="1"/>
    <col min="7428" max="7428" width="9.140625" style="208"/>
    <col min="7429" max="7429" width="15.42578125" style="208" customWidth="1"/>
    <col min="7430" max="7430" width="9.140625" style="208"/>
    <col min="7431" max="7431" width="9.7109375" style="208" customWidth="1"/>
    <col min="7432" max="7677" width="9.140625" style="208"/>
    <col min="7678" max="7678" width="12.28515625" style="208" customWidth="1"/>
    <col min="7679" max="7679" width="21" style="208" customWidth="1"/>
    <col min="7680" max="7680" width="15.42578125" style="208" customWidth="1"/>
    <col min="7681" max="7683" width="12.85546875" style="208" customWidth="1"/>
    <col min="7684" max="7684" width="9.140625" style="208"/>
    <col min="7685" max="7685" width="15.42578125" style="208" customWidth="1"/>
    <col min="7686" max="7686" width="9.140625" style="208"/>
    <col min="7687" max="7687" width="9.7109375" style="208" customWidth="1"/>
    <col min="7688" max="7933" width="9.140625" style="208"/>
    <col min="7934" max="7934" width="12.28515625" style="208" customWidth="1"/>
    <col min="7935" max="7935" width="21" style="208" customWidth="1"/>
    <col min="7936" max="7936" width="15.42578125" style="208" customWidth="1"/>
    <col min="7937" max="7939" width="12.85546875" style="208" customWidth="1"/>
    <col min="7940" max="7940" width="9.140625" style="208"/>
    <col min="7941" max="7941" width="15.42578125" style="208" customWidth="1"/>
    <col min="7942" max="7942" width="9.140625" style="208"/>
    <col min="7943" max="7943" width="9.7109375" style="208" customWidth="1"/>
    <col min="7944" max="8189" width="9.140625" style="208"/>
    <col min="8190" max="8190" width="12.28515625" style="208" customWidth="1"/>
    <col min="8191" max="8191" width="21" style="208" customWidth="1"/>
    <col min="8192" max="8192" width="15.42578125" style="208" customWidth="1"/>
    <col min="8193" max="8195" width="12.85546875" style="208" customWidth="1"/>
    <col min="8196" max="8196" width="9.140625" style="208"/>
    <col min="8197" max="8197" width="15.42578125" style="208" customWidth="1"/>
    <col min="8198" max="8198" width="9.140625" style="208"/>
    <col min="8199" max="8199" width="9.7109375" style="208" customWidth="1"/>
    <col min="8200" max="8445" width="9.140625" style="208"/>
    <col min="8446" max="8446" width="12.28515625" style="208" customWidth="1"/>
    <col min="8447" max="8447" width="21" style="208" customWidth="1"/>
    <col min="8448" max="8448" width="15.42578125" style="208" customWidth="1"/>
    <col min="8449" max="8451" width="12.85546875" style="208" customWidth="1"/>
    <col min="8452" max="8452" width="9.140625" style="208"/>
    <col min="8453" max="8453" width="15.42578125" style="208" customWidth="1"/>
    <col min="8454" max="8454" width="9.140625" style="208"/>
    <col min="8455" max="8455" width="9.7109375" style="208" customWidth="1"/>
    <col min="8456" max="8701" width="9.140625" style="208"/>
    <col min="8702" max="8702" width="12.28515625" style="208" customWidth="1"/>
    <col min="8703" max="8703" width="21" style="208" customWidth="1"/>
    <col min="8704" max="8704" width="15.42578125" style="208" customWidth="1"/>
    <col min="8705" max="8707" width="12.85546875" style="208" customWidth="1"/>
    <col min="8708" max="8708" width="9.140625" style="208"/>
    <col min="8709" max="8709" width="15.42578125" style="208" customWidth="1"/>
    <col min="8710" max="8710" width="9.140625" style="208"/>
    <col min="8711" max="8711" width="9.7109375" style="208" customWidth="1"/>
    <col min="8712" max="8957" width="9.140625" style="208"/>
    <col min="8958" max="8958" width="12.28515625" style="208" customWidth="1"/>
    <col min="8959" max="8959" width="21" style="208" customWidth="1"/>
    <col min="8960" max="8960" width="15.42578125" style="208" customWidth="1"/>
    <col min="8961" max="8963" width="12.85546875" style="208" customWidth="1"/>
    <col min="8964" max="8964" width="9.140625" style="208"/>
    <col min="8965" max="8965" width="15.42578125" style="208" customWidth="1"/>
    <col min="8966" max="8966" width="9.140625" style="208"/>
    <col min="8967" max="8967" width="9.7109375" style="208" customWidth="1"/>
    <col min="8968" max="9213" width="9.140625" style="208"/>
    <col min="9214" max="9214" width="12.28515625" style="208" customWidth="1"/>
    <col min="9215" max="9215" width="21" style="208" customWidth="1"/>
    <col min="9216" max="9216" width="15.42578125" style="208" customWidth="1"/>
    <col min="9217" max="9219" width="12.85546875" style="208" customWidth="1"/>
    <col min="9220" max="9220" width="9.140625" style="208"/>
    <col min="9221" max="9221" width="15.42578125" style="208" customWidth="1"/>
    <col min="9222" max="9222" width="9.140625" style="208"/>
    <col min="9223" max="9223" width="9.7109375" style="208" customWidth="1"/>
    <col min="9224" max="9469" width="9.140625" style="208"/>
    <col min="9470" max="9470" width="12.28515625" style="208" customWidth="1"/>
    <col min="9471" max="9471" width="21" style="208" customWidth="1"/>
    <col min="9472" max="9472" width="15.42578125" style="208" customWidth="1"/>
    <col min="9473" max="9475" width="12.85546875" style="208" customWidth="1"/>
    <col min="9476" max="9476" width="9.140625" style="208"/>
    <col min="9477" max="9477" width="15.42578125" style="208" customWidth="1"/>
    <col min="9478" max="9478" width="9.140625" style="208"/>
    <col min="9479" max="9479" width="9.7109375" style="208" customWidth="1"/>
    <col min="9480" max="9725" width="9.140625" style="208"/>
    <col min="9726" max="9726" width="12.28515625" style="208" customWidth="1"/>
    <col min="9727" max="9727" width="21" style="208" customWidth="1"/>
    <col min="9728" max="9728" width="15.42578125" style="208" customWidth="1"/>
    <col min="9729" max="9731" width="12.85546875" style="208" customWidth="1"/>
    <col min="9732" max="9732" width="9.140625" style="208"/>
    <col min="9733" max="9733" width="15.42578125" style="208" customWidth="1"/>
    <col min="9734" max="9734" width="9.140625" style="208"/>
    <col min="9735" max="9735" width="9.7109375" style="208" customWidth="1"/>
    <col min="9736" max="9981" width="9.140625" style="208"/>
    <col min="9982" max="9982" width="12.28515625" style="208" customWidth="1"/>
    <col min="9983" max="9983" width="21" style="208" customWidth="1"/>
    <col min="9984" max="9984" width="15.42578125" style="208" customWidth="1"/>
    <col min="9985" max="9987" width="12.85546875" style="208" customWidth="1"/>
    <col min="9988" max="9988" width="9.140625" style="208"/>
    <col min="9989" max="9989" width="15.42578125" style="208" customWidth="1"/>
    <col min="9990" max="9990" width="9.140625" style="208"/>
    <col min="9991" max="9991" width="9.7109375" style="208" customWidth="1"/>
    <col min="9992" max="10237" width="9.140625" style="208"/>
    <col min="10238" max="10238" width="12.28515625" style="208" customWidth="1"/>
    <col min="10239" max="10239" width="21" style="208" customWidth="1"/>
    <col min="10240" max="10240" width="15.42578125" style="208" customWidth="1"/>
    <col min="10241" max="10243" width="12.85546875" style="208" customWidth="1"/>
    <col min="10244" max="10244" width="9.140625" style="208"/>
    <col min="10245" max="10245" width="15.42578125" style="208" customWidth="1"/>
    <col min="10246" max="10246" width="9.140625" style="208"/>
    <col min="10247" max="10247" width="9.7109375" style="208" customWidth="1"/>
    <col min="10248" max="10493" width="9.140625" style="208"/>
    <col min="10494" max="10494" width="12.28515625" style="208" customWidth="1"/>
    <col min="10495" max="10495" width="21" style="208" customWidth="1"/>
    <col min="10496" max="10496" width="15.42578125" style="208" customWidth="1"/>
    <col min="10497" max="10499" width="12.85546875" style="208" customWidth="1"/>
    <col min="10500" max="10500" width="9.140625" style="208"/>
    <col min="10501" max="10501" width="15.42578125" style="208" customWidth="1"/>
    <col min="10502" max="10502" width="9.140625" style="208"/>
    <col min="10503" max="10503" width="9.7109375" style="208" customWidth="1"/>
    <col min="10504" max="10749" width="9.140625" style="208"/>
    <col min="10750" max="10750" width="12.28515625" style="208" customWidth="1"/>
    <col min="10751" max="10751" width="21" style="208" customWidth="1"/>
    <col min="10752" max="10752" width="15.42578125" style="208" customWidth="1"/>
    <col min="10753" max="10755" width="12.85546875" style="208" customWidth="1"/>
    <col min="10756" max="10756" width="9.140625" style="208"/>
    <col min="10757" max="10757" width="15.42578125" style="208" customWidth="1"/>
    <col min="10758" max="10758" width="9.140625" style="208"/>
    <col min="10759" max="10759" width="9.7109375" style="208" customWidth="1"/>
    <col min="10760" max="11005" width="9.140625" style="208"/>
    <col min="11006" max="11006" width="12.28515625" style="208" customWidth="1"/>
    <col min="11007" max="11007" width="21" style="208" customWidth="1"/>
    <col min="11008" max="11008" width="15.42578125" style="208" customWidth="1"/>
    <col min="11009" max="11011" width="12.85546875" style="208" customWidth="1"/>
    <col min="11012" max="11012" width="9.140625" style="208"/>
    <col min="11013" max="11013" width="15.42578125" style="208" customWidth="1"/>
    <col min="11014" max="11014" width="9.140625" style="208"/>
    <col min="11015" max="11015" width="9.7109375" style="208" customWidth="1"/>
    <col min="11016" max="11261" width="9.140625" style="208"/>
    <col min="11262" max="11262" width="12.28515625" style="208" customWidth="1"/>
    <col min="11263" max="11263" width="21" style="208" customWidth="1"/>
    <col min="11264" max="11264" width="15.42578125" style="208" customWidth="1"/>
    <col min="11265" max="11267" width="12.85546875" style="208" customWidth="1"/>
    <col min="11268" max="11268" width="9.140625" style="208"/>
    <col min="11269" max="11269" width="15.42578125" style="208" customWidth="1"/>
    <col min="11270" max="11270" width="9.140625" style="208"/>
    <col min="11271" max="11271" width="9.7109375" style="208" customWidth="1"/>
    <col min="11272" max="11517" width="9.140625" style="208"/>
    <col min="11518" max="11518" width="12.28515625" style="208" customWidth="1"/>
    <col min="11519" max="11519" width="21" style="208" customWidth="1"/>
    <col min="11520" max="11520" width="15.42578125" style="208" customWidth="1"/>
    <col min="11521" max="11523" width="12.85546875" style="208" customWidth="1"/>
    <col min="11524" max="11524" width="9.140625" style="208"/>
    <col min="11525" max="11525" width="15.42578125" style="208" customWidth="1"/>
    <col min="11526" max="11526" width="9.140625" style="208"/>
    <col min="11527" max="11527" width="9.7109375" style="208" customWidth="1"/>
    <col min="11528" max="11773" width="9.140625" style="208"/>
    <col min="11774" max="11774" width="12.28515625" style="208" customWidth="1"/>
    <col min="11775" max="11775" width="21" style="208" customWidth="1"/>
    <col min="11776" max="11776" width="15.42578125" style="208" customWidth="1"/>
    <col min="11777" max="11779" width="12.85546875" style="208" customWidth="1"/>
    <col min="11780" max="11780" width="9.140625" style="208"/>
    <col min="11781" max="11781" width="15.42578125" style="208" customWidth="1"/>
    <col min="11782" max="11782" width="9.140625" style="208"/>
    <col min="11783" max="11783" width="9.7109375" style="208" customWidth="1"/>
    <col min="11784" max="12029" width="9.140625" style="208"/>
    <col min="12030" max="12030" width="12.28515625" style="208" customWidth="1"/>
    <col min="12031" max="12031" width="21" style="208" customWidth="1"/>
    <col min="12032" max="12032" width="15.42578125" style="208" customWidth="1"/>
    <col min="12033" max="12035" width="12.85546875" style="208" customWidth="1"/>
    <col min="12036" max="12036" width="9.140625" style="208"/>
    <col min="12037" max="12037" width="15.42578125" style="208" customWidth="1"/>
    <col min="12038" max="12038" width="9.140625" style="208"/>
    <col min="12039" max="12039" width="9.7109375" style="208" customWidth="1"/>
    <col min="12040" max="12285" width="9.140625" style="208"/>
    <col min="12286" max="12286" width="12.28515625" style="208" customWidth="1"/>
    <col min="12287" max="12287" width="21" style="208" customWidth="1"/>
    <col min="12288" max="12288" width="15.42578125" style="208" customWidth="1"/>
    <col min="12289" max="12291" width="12.85546875" style="208" customWidth="1"/>
    <col min="12292" max="12292" width="9.140625" style="208"/>
    <col min="12293" max="12293" width="15.42578125" style="208" customWidth="1"/>
    <col min="12294" max="12294" width="9.140625" style="208"/>
    <col min="12295" max="12295" width="9.7109375" style="208" customWidth="1"/>
    <col min="12296" max="12541" width="9.140625" style="208"/>
    <col min="12542" max="12542" width="12.28515625" style="208" customWidth="1"/>
    <col min="12543" max="12543" width="21" style="208" customWidth="1"/>
    <col min="12544" max="12544" width="15.42578125" style="208" customWidth="1"/>
    <col min="12545" max="12547" width="12.85546875" style="208" customWidth="1"/>
    <col min="12548" max="12548" width="9.140625" style="208"/>
    <col min="12549" max="12549" width="15.42578125" style="208" customWidth="1"/>
    <col min="12550" max="12550" width="9.140625" style="208"/>
    <col min="12551" max="12551" width="9.7109375" style="208" customWidth="1"/>
    <col min="12552" max="12797" width="9.140625" style="208"/>
    <col min="12798" max="12798" width="12.28515625" style="208" customWidth="1"/>
    <col min="12799" max="12799" width="21" style="208" customWidth="1"/>
    <col min="12800" max="12800" width="15.42578125" style="208" customWidth="1"/>
    <col min="12801" max="12803" width="12.85546875" style="208" customWidth="1"/>
    <col min="12804" max="12804" width="9.140625" style="208"/>
    <col min="12805" max="12805" width="15.42578125" style="208" customWidth="1"/>
    <col min="12806" max="12806" width="9.140625" style="208"/>
    <col min="12807" max="12807" width="9.7109375" style="208" customWidth="1"/>
    <col min="12808" max="13053" width="9.140625" style="208"/>
    <col min="13054" max="13054" width="12.28515625" style="208" customWidth="1"/>
    <col min="13055" max="13055" width="21" style="208" customWidth="1"/>
    <col min="13056" max="13056" width="15.42578125" style="208" customWidth="1"/>
    <col min="13057" max="13059" width="12.85546875" style="208" customWidth="1"/>
    <col min="13060" max="13060" width="9.140625" style="208"/>
    <col min="13061" max="13061" width="15.42578125" style="208" customWidth="1"/>
    <col min="13062" max="13062" width="9.140625" style="208"/>
    <col min="13063" max="13063" width="9.7109375" style="208" customWidth="1"/>
    <col min="13064" max="13309" width="9.140625" style="208"/>
    <col min="13310" max="13310" width="12.28515625" style="208" customWidth="1"/>
    <col min="13311" max="13311" width="21" style="208" customWidth="1"/>
    <col min="13312" max="13312" width="15.42578125" style="208" customWidth="1"/>
    <col min="13313" max="13315" width="12.85546875" style="208" customWidth="1"/>
    <col min="13316" max="13316" width="9.140625" style="208"/>
    <col min="13317" max="13317" width="15.42578125" style="208" customWidth="1"/>
    <col min="13318" max="13318" width="9.140625" style="208"/>
    <col min="13319" max="13319" width="9.7109375" style="208" customWidth="1"/>
    <col min="13320" max="13565" width="9.140625" style="208"/>
    <col min="13566" max="13566" width="12.28515625" style="208" customWidth="1"/>
    <col min="13567" max="13567" width="21" style="208" customWidth="1"/>
    <col min="13568" max="13568" width="15.42578125" style="208" customWidth="1"/>
    <col min="13569" max="13571" width="12.85546875" style="208" customWidth="1"/>
    <col min="13572" max="13572" width="9.140625" style="208"/>
    <col min="13573" max="13573" width="15.42578125" style="208" customWidth="1"/>
    <col min="13574" max="13574" width="9.140625" style="208"/>
    <col min="13575" max="13575" width="9.7109375" style="208" customWidth="1"/>
    <col min="13576" max="13821" width="9.140625" style="208"/>
    <col min="13822" max="13822" width="12.28515625" style="208" customWidth="1"/>
    <col min="13823" max="13823" width="21" style="208" customWidth="1"/>
    <col min="13824" max="13824" width="15.42578125" style="208" customWidth="1"/>
    <col min="13825" max="13827" width="12.85546875" style="208" customWidth="1"/>
    <col min="13828" max="13828" width="9.140625" style="208"/>
    <col min="13829" max="13829" width="15.42578125" style="208" customWidth="1"/>
    <col min="13830" max="13830" width="9.140625" style="208"/>
    <col min="13831" max="13831" width="9.7109375" style="208" customWidth="1"/>
    <col min="13832" max="14077" width="9.140625" style="208"/>
    <col min="14078" max="14078" width="12.28515625" style="208" customWidth="1"/>
    <col min="14079" max="14079" width="21" style="208" customWidth="1"/>
    <col min="14080" max="14080" width="15.42578125" style="208" customWidth="1"/>
    <col min="14081" max="14083" width="12.85546875" style="208" customWidth="1"/>
    <col min="14084" max="14084" width="9.140625" style="208"/>
    <col min="14085" max="14085" width="15.42578125" style="208" customWidth="1"/>
    <col min="14086" max="14086" width="9.140625" style="208"/>
    <col min="14087" max="14087" width="9.7109375" style="208" customWidth="1"/>
    <col min="14088" max="14333" width="9.140625" style="208"/>
    <col min="14334" max="14334" width="12.28515625" style="208" customWidth="1"/>
    <col min="14335" max="14335" width="21" style="208" customWidth="1"/>
    <col min="14336" max="14336" width="15.42578125" style="208" customWidth="1"/>
    <col min="14337" max="14339" width="12.85546875" style="208" customWidth="1"/>
    <col min="14340" max="14340" width="9.140625" style="208"/>
    <col min="14341" max="14341" width="15.42578125" style="208" customWidth="1"/>
    <col min="14342" max="14342" width="9.140625" style="208"/>
    <col min="14343" max="14343" width="9.7109375" style="208" customWidth="1"/>
    <col min="14344" max="14589" width="9.140625" style="208"/>
    <col min="14590" max="14590" width="12.28515625" style="208" customWidth="1"/>
    <col min="14591" max="14591" width="21" style="208" customWidth="1"/>
    <col min="14592" max="14592" width="15.42578125" style="208" customWidth="1"/>
    <col min="14593" max="14595" width="12.85546875" style="208" customWidth="1"/>
    <col min="14596" max="14596" width="9.140625" style="208"/>
    <col min="14597" max="14597" width="15.42578125" style="208" customWidth="1"/>
    <col min="14598" max="14598" width="9.140625" style="208"/>
    <col min="14599" max="14599" width="9.7109375" style="208" customWidth="1"/>
    <col min="14600" max="14845" width="9.140625" style="208"/>
    <col min="14846" max="14846" width="12.28515625" style="208" customWidth="1"/>
    <col min="14847" max="14847" width="21" style="208" customWidth="1"/>
    <col min="14848" max="14848" width="15.42578125" style="208" customWidth="1"/>
    <col min="14849" max="14851" width="12.85546875" style="208" customWidth="1"/>
    <col min="14852" max="14852" width="9.140625" style="208"/>
    <col min="14853" max="14853" width="15.42578125" style="208" customWidth="1"/>
    <col min="14854" max="14854" width="9.140625" style="208"/>
    <col min="14855" max="14855" width="9.7109375" style="208" customWidth="1"/>
    <col min="14856" max="15101" width="9.140625" style="208"/>
    <col min="15102" max="15102" width="12.28515625" style="208" customWidth="1"/>
    <col min="15103" max="15103" width="21" style="208" customWidth="1"/>
    <col min="15104" max="15104" width="15.42578125" style="208" customWidth="1"/>
    <col min="15105" max="15107" width="12.85546875" style="208" customWidth="1"/>
    <col min="15108" max="15108" width="9.140625" style="208"/>
    <col min="15109" max="15109" width="15.42578125" style="208" customWidth="1"/>
    <col min="15110" max="15110" width="9.140625" style="208"/>
    <col min="15111" max="15111" width="9.7109375" style="208" customWidth="1"/>
    <col min="15112" max="15357" width="9.140625" style="208"/>
    <col min="15358" max="15358" width="12.28515625" style="208" customWidth="1"/>
    <col min="15359" max="15359" width="21" style="208" customWidth="1"/>
    <col min="15360" max="15360" width="15.42578125" style="208" customWidth="1"/>
    <col min="15361" max="15363" width="12.85546875" style="208" customWidth="1"/>
    <col min="15364" max="15364" width="9.140625" style="208"/>
    <col min="15365" max="15365" width="15.42578125" style="208" customWidth="1"/>
    <col min="15366" max="15366" width="9.140625" style="208"/>
    <col min="15367" max="15367" width="9.7109375" style="208" customWidth="1"/>
    <col min="15368" max="15613" width="9.140625" style="208"/>
    <col min="15614" max="15614" width="12.28515625" style="208" customWidth="1"/>
    <col min="15615" max="15615" width="21" style="208" customWidth="1"/>
    <col min="15616" max="15616" width="15.42578125" style="208" customWidth="1"/>
    <col min="15617" max="15619" width="12.85546875" style="208" customWidth="1"/>
    <col min="15620" max="15620" width="9.140625" style="208"/>
    <col min="15621" max="15621" width="15.42578125" style="208" customWidth="1"/>
    <col min="15622" max="15622" width="9.140625" style="208"/>
    <col min="15623" max="15623" width="9.7109375" style="208" customWidth="1"/>
    <col min="15624" max="15869" width="9.140625" style="208"/>
    <col min="15870" max="15870" width="12.28515625" style="208" customWidth="1"/>
    <col min="15871" max="15871" width="21" style="208" customWidth="1"/>
    <col min="15872" max="15872" width="15.42578125" style="208" customWidth="1"/>
    <col min="15873" max="15875" width="12.85546875" style="208" customWidth="1"/>
    <col min="15876" max="15876" width="9.140625" style="208"/>
    <col min="15877" max="15877" width="15.42578125" style="208" customWidth="1"/>
    <col min="15878" max="15878" width="9.140625" style="208"/>
    <col min="15879" max="15879" width="9.7109375" style="208" customWidth="1"/>
    <col min="15880" max="16125" width="9.140625" style="208"/>
    <col min="16126" max="16126" width="12.28515625" style="208" customWidth="1"/>
    <col min="16127" max="16127" width="21" style="208" customWidth="1"/>
    <col min="16128" max="16128" width="15.42578125" style="208" customWidth="1"/>
    <col min="16129" max="16131" width="12.85546875" style="208" customWidth="1"/>
    <col min="16132" max="16132" width="9.140625" style="208"/>
    <col min="16133" max="16133" width="15.42578125" style="208" customWidth="1"/>
    <col min="16134" max="16134" width="9.140625" style="208"/>
    <col min="16135" max="16135" width="9.7109375" style="208" customWidth="1"/>
    <col min="16136" max="16384" width="9.140625" style="208"/>
  </cols>
  <sheetData>
    <row r="1" spans="1:7" s="82" customFormat="1" ht="18" x14ac:dyDescent="0.2">
      <c r="A1" s="83" t="s">
        <v>34</v>
      </c>
      <c r="B1" s="146"/>
      <c r="C1" s="85"/>
      <c r="D1" s="85"/>
      <c r="E1" s="85"/>
      <c r="F1" s="42"/>
      <c r="G1" s="42"/>
    </row>
    <row r="2" spans="1:7" ht="18" x14ac:dyDescent="0.25">
      <c r="A2" s="360" t="s">
        <v>256</v>
      </c>
      <c r="B2" s="361"/>
      <c r="C2" s="361"/>
      <c r="D2" s="361"/>
      <c r="E2" s="361"/>
    </row>
    <row r="3" spans="1:7" ht="15.75" x14ac:dyDescent="0.2">
      <c r="A3" s="252"/>
      <c r="B3" s="253"/>
      <c r="C3" s="253"/>
      <c r="D3" s="253"/>
      <c r="E3" s="253"/>
    </row>
    <row r="4" spans="1:7" ht="79.5" customHeight="1" x14ac:dyDescent="0.2">
      <c r="A4" s="362" t="s">
        <v>257</v>
      </c>
      <c r="B4" s="363"/>
      <c r="C4" s="363"/>
      <c r="D4" s="363"/>
      <c r="E4" s="363"/>
    </row>
    <row r="5" spans="1:7" ht="15" x14ac:dyDescent="0.2">
      <c r="A5" s="254"/>
      <c r="B5" s="255"/>
      <c r="C5" s="255"/>
      <c r="D5" s="255"/>
      <c r="E5" s="255"/>
    </row>
    <row r="6" spans="1:7" ht="45" x14ac:dyDescent="0.25">
      <c r="A6" s="364" t="s">
        <v>258</v>
      </c>
      <c r="B6" s="365"/>
      <c r="C6" s="312" t="s">
        <v>259</v>
      </c>
      <c r="D6" s="312" t="s">
        <v>260</v>
      </c>
      <c r="E6" s="256" t="s">
        <v>261</v>
      </c>
    </row>
    <row r="7" spans="1:7" ht="15" x14ac:dyDescent="0.25">
      <c r="A7" s="257" t="s">
        <v>262</v>
      </c>
      <c r="B7" s="258"/>
      <c r="C7" s="257"/>
      <c r="D7" s="257"/>
      <c r="E7" s="257"/>
    </row>
    <row r="8" spans="1:7" ht="15" x14ac:dyDescent="0.25">
      <c r="A8" s="259" t="s">
        <v>58</v>
      </c>
      <c r="B8" s="259" t="s">
        <v>263</v>
      </c>
      <c r="C8" s="260">
        <v>10000</v>
      </c>
      <c r="D8" s="260">
        <v>15000</v>
      </c>
      <c r="E8" s="257"/>
    </row>
    <row r="9" spans="1:7" ht="15" x14ac:dyDescent="0.25">
      <c r="A9" s="261"/>
      <c r="B9" s="262"/>
      <c r="C9" s="262"/>
      <c r="E9" s="263"/>
    </row>
    <row r="10" spans="1:7" ht="15" x14ac:dyDescent="0.25">
      <c r="A10" s="366" t="s">
        <v>181</v>
      </c>
      <c r="B10" s="367"/>
      <c r="C10" s="367"/>
      <c r="D10" s="367"/>
      <c r="E10" s="367"/>
    </row>
    <row r="11" spans="1:7" ht="14.25" x14ac:dyDescent="0.2">
      <c r="A11" s="249" t="s">
        <v>264</v>
      </c>
      <c r="B11" s="249" t="s">
        <v>265</v>
      </c>
      <c r="C11" s="266">
        <v>901832</v>
      </c>
      <c r="D11" s="266">
        <v>573913</v>
      </c>
      <c r="E11" s="250" t="s">
        <v>270</v>
      </c>
    </row>
    <row r="12" spans="1:7" ht="14.25" x14ac:dyDescent="0.2">
      <c r="A12" s="249" t="s">
        <v>264</v>
      </c>
      <c r="B12" s="249" t="s">
        <v>174</v>
      </c>
      <c r="C12" s="266">
        <v>0</v>
      </c>
      <c r="D12" s="266">
        <v>0</v>
      </c>
      <c r="E12" s="251"/>
    </row>
    <row r="13" spans="1:7" ht="14.25" x14ac:dyDescent="0.2">
      <c r="A13" s="303"/>
      <c r="B13" s="303"/>
      <c r="C13" s="303"/>
      <c r="D13" s="304"/>
      <c r="E13" s="305"/>
    </row>
    <row r="14" spans="1:7" ht="15" x14ac:dyDescent="0.25">
      <c r="A14" s="368" t="s">
        <v>183</v>
      </c>
      <c r="B14" s="369"/>
      <c r="C14" s="369"/>
      <c r="D14" s="369"/>
      <c r="E14" s="369"/>
    </row>
    <row r="15" spans="1:7" ht="14.25" x14ac:dyDescent="0.2">
      <c r="A15" s="306"/>
      <c r="B15" s="249" t="s">
        <v>266</v>
      </c>
      <c r="C15" s="266">
        <v>150000</v>
      </c>
      <c r="D15" s="266">
        <v>150000</v>
      </c>
      <c r="E15" s="250" t="s">
        <v>271</v>
      </c>
    </row>
    <row r="16" spans="1:7" ht="14.25" x14ac:dyDescent="0.2">
      <c r="A16" s="306"/>
      <c r="B16" s="249" t="s">
        <v>213</v>
      </c>
      <c r="C16" s="266">
        <v>60680</v>
      </c>
      <c r="D16" s="266">
        <v>60000</v>
      </c>
      <c r="E16" s="251" t="s">
        <v>272</v>
      </c>
    </row>
    <row r="17" spans="1:5" ht="14.25" x14ac:dyDescent="0.2">
      <c r="A17" s="303"/>
      <c r="B17" s="303"/>
      <c r="C17" s="303"/>
      <c r="D17" s="304"/>
      <c r="E17" s="305"/>
    </row>
    <row r="18" spans="1:5" ht="15" x14ac:dyDescent="0.25">
      <c r="A18" s="368" t="s">
        <v>184</v>
      </c>
      <c r="B18" s="369"/>
      <c r="C18" s="369"/>
      <c r="D18" s="369"/>
      <c r="E18" s="369"/>
    </row>
    <row r="19" spans="1:5" ht="14.25" x14ac:dyDescent="0.2">
      <c r="A19" s="306"/>
      <c r="B19" s="249" t="s">
        <v>267</v>
      </c>
      <c r="C19" s="266">
        <v>349196</v>
      </c>
      <c r="D19" s="266">
        <v>617009</v>
      </c>
      <c r="E19" s="250" t="s">
        <v>282</v>
      </c>
    </row>
    <row r="20" spans="1:5" ht="14.25" x14ac:dyDescent="0.2">
      <c r="A20" s="306"/>
      <c r="B20" s="249" t="s">
        <v>174</v>
      </c>
      <c r="C20" s="266">
        <v>0</v>
      </c>
      <c r="D20" s="266">
        <v>0</v>
      </c>
      <c r="E20" s="251"/>
    </row>
    <row r="21" spans="1:5" ht="14.25" x14ac:dyDescent="0.2">
      <c r="A21" s="303"/>
      <c r="B21" s="303"/>
      <c r="C21" s="303"/>
      <c r="D21" s="304"/>
      <c r="E21" s="305"/>
    </row>
    <row r="22" spans="1:5" ht="15" x14ac:dyDescent="0.25">
      <c r="A22" s="368" t="s">
        <v>185</v>
      </c>
      <c r="B22" s="369"/>
      <c r="C22" s="369"/>
      <c r="D22" s="369"/>
      <c r="E22" s="369"/>
    </row>
    <row r="23" spans="1:5" ht="14.25" x14ac:dyDescent="0.2">
      <c r="A23" s="306"/>
      <c r="B23" s="249" t="s">
        <v>275</v>
      </c>
      <c r="C23" s="266">
        <v>80817</v>
      </c>
      <c r="D23" s="266">
        <v>20000</v>
      </c>
      <c r="E23" s="250" t="s">
        <v>274</v>
      </c>
    </row>
    <row r="24" spans="1:5" ht="14.25" x14ac:dyDescent="0.2">
      <c r="A24" s="306"/>
      <c r="B24" s="249" t="s">
        <v>174</v>
      </c>
      <c r="C24" s="266">
        <v>0</v>
      </c>
      <c r="D24" s="266">
        <v>0</v>
      </c>
      <c r="E24" s="251"/>
    </row>
    <row r="25" spans="1:5" ht="14.25" x14ac:dyDescent="0.2">
      <c r="A25" s="303"/>
      <c r="B25" s="303"/>
      <c r="C25" s="303"/>
      <c r="D25" s="304"/>
      <c r="E25" s="305"/>
    </row>
    <row r="26" spans="1:5" ht="15" x14ac:dyDescent="0.25">
      <c r="A26" s="368" t="s">
        <v>187</v>
      </c>
      <c r="B26" s="369"/>
      <c r="C26" s="369"/>
      <c r="D26" s="369"/>
      <c r="E26" s="369"/>
    </row>
    <row r="27" spans="1:5" ht="14.25" x14ac:dyDescent="0.2">
      <c r="A27" s="306"/>
      <c r="B27" s="249" t="s">
        <v>268</v>
      </c>
      <c r="C27" s="266">
        <v>15000</v>
      </c>
      <c r="D27" s="266">
        <v>15202</v>
      </c>
      <c r="E27" s="250" t="s">
        <v>273</v>
      </c>
    </row>
    <row r="28" spans="1:5" ht="14.25" x14ac:dyDescent="0.2">
      <c r="A28" s="306"/>
      <c r="B28" s="249" t="s">
        <v>174</v>
      </c>
      <c r="C28" s="266">
        <v>0</v>
      </c>
      <c r="D28" s="266">
        <v>0</v>
      </c>
      <c r="E28" s="251"/>
    </row>
    <row r="29" spans="1:5" ht="14.25" x14ac:dyDescent="0.2">
      <c r="A29" s="303"/>
      <c r="B29" s="303"/>
      <c r="C29" s="303"/>
      <c r="D29" s="304"/>
      <c r="E29" s="305"/>
    </row>
    <row r="30" spans="1:5" ht="15" x14ac:dyDescent="0.25">
      <c r="A30" s="368" t="s">
        <v>188</v>
      </c>
      <c r="B30" s="369"/>
      <c r="C30" s="369"/>
      <c r="D30" s="369"/>
      <c r="E30" s="369"/>
    </row>
    <row r="31" spans="1:5" ht="14.25" x14ac:dyDescent="0.2">
      <c r="A31" s="306"/>
      <c r="B31" s="249" t="s">
        <v>174</v>
      </c>
      <c r="C31" s="266">
        <v>0</v>
      </c>
      <c r="D31" s="266">
        <v>0</v>
      </c>
      <c r="E31" s="250"/>
    </row>
    <row r="32" spans="1:5" ht="14.25" x14ac:dyDescent="0.2">
      <c r="A32" s="306"/>
      <c r="B32" s="249" t="s">
        <v>174</v>
      </c>
      <c r="C32" s="266">
        <v>0</v>
      </c>
      <c r="D32" s="266">
        <v>0</v>
      </c>
      <c r="E32" s="251"/>
    </row>
    <row r="33" spans="1:5" x14ac:dyDescent="0.2">
      <c r="A33" s="307"/>
      <c r="B33" s="307"/>
      <c r="C33" s="307"/>
      <c r="D33" s="307"/>
      <c r="E33" s="308"/>
    </row>
    <row r="34" spans="1:5" ht="15" x14ac:dyDescent="0.25">
      <c r="A34" s="368" t="s">
        <v>189</v>
      </c>
      <c r="B34" s="368"/>
      <c r="C34" s="267">
        <f>SUM(C10:C33)</f>
        <v>1557525</v>
      </c>
      <c r="D34" s="267">
        <f>SUM(D10:D33)</f>
        <v>1436124</v>
      </c>
      <c r="E34" s="265" t="s">
        <v>283</v>
      </c>
    </row>
    <row r="35" spans="1:5" x14ac:dyDescent="0.2">
      <c r="A35" s="264"/>
      <c r="B35" s="264"/>
      <c r="C35" s="264"/>
      <c r="D35" s="264"/>
      <c r="E35" s="264"/>
    </row>
    <row r="36" spans="1:5" x14ac:dyDescent="0.2">
      <c r="A36" s="370"/>
      <c r="B36" s="367"/>
      <c r="C36" s="367"/>
      <c r="D36" s="367"/>
      <c r="E36" s="367"/>
    </row>
  </sheetData>
  <sheetProtection algorithmName="SHA-512" hashValue="8qoKVLu0l2WOSjfxizfPnqlPrVlsikF6aIkCuVAGi+YcfPz55SzMvVib9JpNyqE4Ryu7dIHHOJ3tW74p3+yugw==" saltValue="H3UGtc1c/BZua70g6tS86w==" spinCount="100000" sheet="1" objects="1" scenarios="1"/>
  <mergeCells count="11">
    <mergeCell ref="A36:E36"/>
    <mergeCell ref="A30:E30"/>
    <mergeCell ref="A34:B34"/>
    <mergeCell ref="A14:E14"/>
    <mergeCell ref="A26:E26"/>
    <mergeCell ref="A22:E22"/>
    <mergeCell ref="A2:E2"/>
    <mergeCell ref="A4:E4"/>
    <mergeCell ref="A6:B6"/>
    <mergeCell ref="A10:E10"/>
    <mergeCell ref="A18:E18"/>
  </mergeCells>
  <pageMargins left="0.7" right="0.7" top="0.75" bottom="0.75" header="0.3" footer="0.3"/>
  <pageSetup scale="79" firstPageNumber="8" orientation="portrait" r:id="rId1"/>
  <headerFooter>
    <oddFooter>&amp;LCity of Santa Monica
Exhibit C2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sheetPr codeName="Sheet5"/>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Ivy Chang</DisplayName>
        <AccountId>97</AccountId>
        <AccountType/>
      </UserInfo>
      <UserInfo>
        <DisplayName>Marina Dowdall</DisplayName>
        <AccountId>349</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purl.org/dc/elements/1.1/"/>
    <ds:schemaRef ds:uri="http://schemas.openxmlformats.org/package/2006/metadata/core-properties"/>
    <ds:schemaRef ds:uri="daf46ea9-1fb0-4df5-b00f-12140a5586ec"/>
    <ds:schemaRef ds:uri="http://schemas.microsoft.com/office/2006/metadata/properties"/>
    <ds:schemaRef ds:uri="b65fe88f-9120-4dd2-a3a2-5b196d645d54"/>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9D15405A-181D-4641-B507-0D48AE968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2023-02-22T02:24:22Z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f23eb05ca6da4c8d948d7f6554eb6ca7</vt:lpwstr>
  </property>
  <property fmtid="{D5CDD505-2E9C-101B-9397-08002B2CF9AE}" pid="11" name="MediaServiceImageTags">
    <vt:lpwstr/>
  </property>
</Properties>
</file>