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474" documentId="8_{43FB788F-4BEF-4551-9D04-4FA55BBAFC07}" xr6:coauthVersionLast="46" xr6:coauthVersionMax="47" xr10:uidLastSave="{F9E86834-B6E9-4C54-9D7D-06074347BD64}"/>
  <workbookProtection workbookAlgorithmName="SHA-512" workbookHashValue="RkLIm7oDUi6NEU0VSX4xaFMiqfy2h8kBNXCfFM0J/pb+hUV37vPF6HPweRPmDjlEqqU/SIa74fJFsaEFG4WAqA==" workbookSaltValue="PINCKwrHLBDKnc6olyvwO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SOURCES'!$A$1:$E$37</definedName>
    <definedName name="_xlnm.Print_Area" localSheetId="1">'PROGRAM BUDGET &amp; FISCAL REPORT'!$A$1:$N$129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9" l="1"/>
  <c r="J39" i="19"/>
  <c r="N28" i="19"/>
  <c r="K28" i="19"/>
  <c r="J28" i="19"/>
  <c r="H28" i="19"/>
  <c r="F38" i="19"/>
  <c r="F37" i="19"/>
  <c r="F36" i="19"/>
  <c r="F35" i="19"/>
  <c r="F34" i="19"/>
  <c r="F33" i="19"/>
  <c r="F32" i="19"/>
  <c r="F31" i="19"/>
  <c r="F30" i="19"/>
  <c r="F29" i="19"/>
  <c r="F27" i="19"/>
  <c r="E28" i="19" s="1"/>
  <c r="E39" i="19" l="1"/>
  <c r="E41" i="19" s="1"/>
  <c r="K33" i="19"/>
  <c r="K39" i="19" s="1"/>
  <c r="K41" i="19" s="1"/>
  <c r="L34" i="19"/>
  <c r="M34" i="19" s="1"/>
  <c r="I34" i="19"/>
  <c r="N67" i="19" l="1"/>
  <c r="N68" i="19"/>
  <c r="N71" i="19"/>
  <c r="N33" i="19"/>
  <c r="N39" i="19" s="1"/>
  <c r="N41" i="19" s="1"/>
  <c r="I33" i="19"/>
  <c r="H32" i="19"/>
  <c r="H30" i="19"/>
  <c r="H31" i="19"/>
  <c r="G31" i="19"/>
  <c r="L33" i="19"/>
  <c r="M33" i="19" l="1"/>
  <c r="D23" i="26" l="1"/>
  <c r="C23" i="26"/>
  <c r="B23" i="26"/>
  <c r="J128" i="19" l="1"/>
  <c r="I128" i="19"/>
  <c r="G27" i="19" l="1"/>
  <c r="G28" i="19" s="1"/>
  <c r="G32" i="19"/>
  <c r="G30" i="19"/>
  <c r="G29" i="19"/>
  <c r="H29" i="19" l="1"/>
  <c r="H39" i="19" s="1"/>
  <c r="H41" i="19" s="1"/>
  <c r="G39" i="19"/>
  <c r="G41" i="19"/>
  <c r="C4" i="14"/>
  <c r="C3" i="14"/>
  <c r="N84" i="19"/>
  <c r="I99" i="19"/>
  <c r="I47" i="26" l="1"/>
  <c r="E47" i="26"/>
  <c r="C35" i="30" l="1"/>
  <c r="D35" i="30"/>
  <c r="D13" i="19" l="1"/>
  <c r="D12" i="19"/>
  <c r="D11" i="19"/>
  <c r="D10" i="19"/>
  <c r="D9" i="19"/>
  <c r="L127" i="19" l="1"/>
  <c r="L124" i="19"/>
  <c r="L123" i="19"/>
  <c r="L121" i="19"/>
  <c r="L120" i="19"/>
  <c r="L118" i="19"/>
  <c r="L117" i="19"/>
  <c r="L115" i="19"/>
  <c r="L114" i="19"/>
  <c r="L112" i="19"/>
  <c r="L111" i="19"/>
  <c r="D8" i="19"/>
  <c r="D7" i="19"/>
  <c r="D6" i="19"/>
  <c r="H47" i="26" l="1"/>
  <c r="G47" i="26"/>
  <c r="F47" i="26"/>
  <c r="C8" i="14"/>
  <c r="C7" i="14"/>
  <c r="N101" i="19"/>
  <c r="K101" i="19"/>
  <c r="J101" i="19"/>
  <c r="F100" i="19"/>
  <c r="H101" i="19"/>
  <c r="G101" i="19"/>
  <c r="L100" i="19"/>
  <c r="M100" i="19" s="1"/>
  <c r="I100" i="19"/>
  <c r="I101" i="19" s="1"/>
  <c r="I12" i="19" s="1"/>
  <c r="H47" i="19"/>
  <c r="E7" i="14"/>
  <c r="I91" i="19"/>
  <c r="I90" i="19"/>
  <c r="I89" i="19"/>
  <c r="I83" i="19"/>
  <c r="I82" i="19"/>
  <c r="I81" i="19"/>
  <c r="I75" i="19"/>
  <c r="I74" i="19"/>
  <c r="I73" i="19"/>
  <c r="I72" i="19"/>
  <c r="I71" i="19"/>
  <c r="I70" i="19"/>
  <c r="I69" i="19"/>
  <c r="I68" i="19"/>
  <c r="I67" i="19"/>
  <c r="L91" i="19"/>
  <c r="M91" i="19" s="1"/>
  <c r="L90" i="19"/>
  <c r="M90" i="19" s="1"/>
  <c r="L83" i="19"/>
  <c r="M83" i="19" s="1"/>
  <c r="L82" i="19"/>
  <c r="M82" i="19" s="1"/>
  <c r="L75" i="19"/>
  <c r="M75" i="19" s="1"/>
  <c r="L74" i="19"/>
  <c r="M74" i="19" s="1"/>
  <c r="L73" i="19"/>
  <c r="M73" i="19" s="1"/>
  <c r="L72" i="19"/>
  <c r="M72" i="19" s="1"/>
  <c r="L71" i="19"/>
  <c r="M71" i="19" s="1"/>
  <c r="L70" i="19"/>
  <c r="M70" i="19" s="1"/>
  <c r="L69" i="19"/>
  <c r="M69" i="19" s="1"/>
  <c r="I60" i="19"/>
  <c r="L60" i="19"/>
  <c r="M60" i="19" s="1"/>
  <c r="I61" i="19"/>
  <c r="L61" i="19"/>
  <c r="M61" i="19" s="1"/>
  <c r="L48" i="19"/>
  <c r="M48" i="19" s="1"/>
  <c r="L49" i="19"/>
  <c r="M49" i="19" s="1"/>
  <c r="L50" i="19"/>
  <c r="M50" i="19" s="1"/>
  <c r="L51" i="19"/>
  <c r="M51" i="19" s="1"/>
  <c r="I52" i="19"/>
  <c r="L52" i="19"/>
  <c r="M52" i="19" s="1"/>
  <c r="I53" i="19"/>
  <c r="L53" i="19"/>
  <c r="M53" i="19" s="1"/>
  <c r="I29" i="19"/>
  <c r="E8" i="14"/>
  <c r="I40" i="19"/>
  <c r="I38" i="19"/>
  <c r="I37" i="19"/>
  <c r="I36" i="19"/>
  <c r="I35" i="19"/>
  <c r="I27" i="19"/>
  <c r="I28" i="19" s="1"/>
  <c r="I32" i="19"/>
  <c r="I31" i="19"/>
  <c r="I30" i="19"/>
  <c r="G76" i="19"/>
  <c r="G9" i="19" s="1"/>
  <c r="L40" i="19"/>
  <c r="M40" i="19" s="1"/>
  <c r="L38" i="19"/>
  <c r="M38" i="19" s="1"/>
  <c r="L37" i="19"/>
  <c r="M37" i="19" s="1"/>
  <c r="L36" i="19"/>
  <c r="M36" i="19" s="1"/>
  <c r="L35" i="19"/>
  <c r="M35" i="19" s="1"/>
  <c r="N62" i="19"/>
  <c r="N8" i="19" s="1"/>
  <c r="N76" i="19"/>
  <c r="N9" i="19" s="1"/>
  <c r="J84" i="19"/>
  <c r="J10" i="19" s="1"/>
  <c r="K84" i="19"/>
  <c r="K10" i="19" s="1"/>
  <c r="N92" i="19"/>
  <c r="N11" i="19" s="1"/>
  <c r="L29" i="19"/>
  <c r="L30" i="19"/>
  <c r="M30" i="19" s="1"/>
  <c r="L31" i="19"/>
  <c r="M31" i="19" s="1"/>
  <c r="L32" i="19"/>
  <c r="M32" i="19" s="1"/>
  <c r="L27" i="19"/>
  <c r="L46" i="19"/>
  <c r="M46" i="19" s="1"/>
  <c r="J6" i="19"/>
  <c r="D47" i="26"/>
  <c r="C47" i="26"/>
  <c r="B47" i="26"/>
  <c r="D32" i="26"/>
  <c r="C32" i="26"/>
  <c r="B32" i="26"/>
  <c r="B4" i="14"/>
  <c r="B3" i="14"/>
  <c r="G62" i="19"/>
  <c r="G8" i="19" s="1"/>
  <c r="G84" i="19"/>
  <c r="G10" i="19" s="1"/>
  <c r="G92" i="19"/>
  <c r="G11" i="19" s="1"/>
  <c r="H62" i="19"/>
  <c r="H8" i="19" s="1"/>
  <c r="H76" i="19"/>
  <c r="H9" i="19" s="1"/>
  <c r="H84" i="19"/>
  <c r="H10" i="19" s="1"/>
  <c r="H92" i="19"/>
  <c r="H11" i="19" s="1"/>
  <c r="L59" i="19"/>
  <c r="M59" i="19" s="1"/>
  <c r="I59" i="19"/>
  <c r="L68" i="19"/>
  <c r="M68" i="19" s="1"/>
  <c r="L99" i="19"/>
  <c r="M99" i="19" s="1"/>
  <c r="K92" i="19"/>
  <c r="K11" i="19" s="1"/>
  <c r="J92" i="19"/>
  <c r="J11" i="19" s="1"/>
  <c r="L89" i="19"/>
  <c r="M89" i="19" s="1"/>
  <c r="L81" i="19"/>
  <c r="M81" i="19" s="1"/>
  <c r="L67" i="19"/>
  <c r="M67" i="19" s="1"/>
  <c r="K76" i="19"/>
  <c r="K9" i="19" s="1"/>
  <c r="J76" i="19"/>
  <c r="J9" i="19" s="1"/>
  <c r="K62" i="19"/>
  <c r="K8" i="19" s="1"/>
  <c r="J62" i="19"/>
  <c r="J8" i="19" s="1"/>
  <c r="J54" i="19"/>
  <c r="J7" i="19" s="1"/>
  <c r="I39" i="19" l="1"/>
  <c r="I41" i="19" s="1"/>
  <c r="I6" i="19" s="1"/>
  <c r="M29" i="19"/>
  <c r="L39" i="19"/>
  <c r="M39" i="19" s="1"/>
  <c r="M27" i="19"/>
  <c r="L28" i="19"/>
  <c r="N6" i="19"/>
  <c r="N48" i="19"/>
  <c r="N49" i="19"/>
  <c r="N50" i="19"/>
  <c r="N51" i="19"/>
  <c r="N46" i="19"/>
  <c r="N47" i="19"/>
  <c r="K6" i="19"/>
  <c r="K47" i="19"/>
  <c r="G51" i="19"/>
  <c r="I51" i="19" s="1"/>
  <c r="G48" i="19"/>
  <c r="G50" i="19"/>
  <c r="I50" i="19" s="1"/>
  <c r="G47" i="19"/>
  <c r="I47" i="19" s="1"/>
  <c r="G49" i="19"/>
  <c r="I49" i="19" s="1"/>
  <c r="G46" i="19"/>
  <c r="H6" i="19"/>
  <c r="H54" i="19"/>
  <c r="H7" i="19" s="1"/>
  <c r="G6" i="19"/>
  <c r="I48" i="19"/>
  <c r="G12" i="19"/>
  <c r="H12" i="19"/>
  <c r="N12" i="19"/>
  <c r="J12" i="19"/>
  <c r="J103" i="19"/>
  <c r="J13" i="19" s="1"/>
  <c r="K12" i="19"/>
  <c r="E9" i="14"/>
  <c r="C9" i="14"/>
  <c r="I76" i="19"/>
  <c r="I9" i="19" s="1"/>
  <c r="I84" i="19"/>
  <c r="I10" i="19" s="1"/>
  <c r="N10" i="19"/>
  <c r="I62" i="19"/>
  <c r="I8" i="19" s="1"/>
  <c r="I92" i="19"/>
  <c r="L76" i="19"/>
  <c r="L101" i="19"/>
  <c r="L12" i="19" s="1"/>
  <c r="L62" i="19"/>
  <c r="M62" i="19" s="1"/>
  <c r="L84" i="19"/>
  <c r="L10" i="19" s="1"/>
  <c r="M10" i="19" s="1"/>
  <c r="L92" i="19"/>
  <c r="M28" i="19" l="1"/>
  <c r="L41" i="19"/>
  <c r="L6" i="19" s="1"/>
  <c r="N54" i="19"/>
  <c r="N7" i="19" s="1"/>
  <c r="L47" i="19"/>
  <c r="K54" i="19"/>
  <c r="H103" i="19"/>
  <c r="H13" i="19" s="1"/>
  <c r="D12" i="14" s="1"/>
  <c r="C16" i="14" s="1"/>
  <c r="G54" i="19"/>
  <c r="I46" i="19"/>
  <c r="I54" i="19" s="1"/>
  <c r="I7" i="19" s="1"/>
  <c r="M12" i="19"/>
  <c r="I11" i="19"/>
  <c r="M92" i="19"/>
  <c r="L11" i="19"/>
  <c r="M11" i="19" s="1"/>
  <c r="M76" i="19"/>
  <c r="L9" i="19"/>
  <c r="M9" i="19" s="1"/>
  <c r="M41" i="19"/>
  <c r="M84" i="19"/>
  <c r="L8" i="19"/>
  <c r="M8" i="19" s="1"/>
  <c r="M101" i="19"/>
  <c r="M6" i="19"/>
  <c r="N103" i="19" l="1"/>
  <c r="N13" i="19" s="1"/>
  <c r="K7" i="19"/>
  <c r="K103" i="19"/>
  <c r="K13" i="19" s="1"/>
  <c r="L54" i="19"/>
  <c r="M47" i="19"/>
  <c r="F99" i="19"/>
  <c r="I103" i="19"/>
  <c r="I13" i="19" s="1"/>
  <c r="G7" i="19"/>
  <c r="G103" i="19"/>
  <c r="G13" i="19" s="1"/>
  <c r="C50" i="26"/>
  <c r="E12" i="14"/>
  <c r="E15" i="14" s="1"/>
  <c r="F15" i="14" s="1"/>
  <c r="M54" i="19" l="1"/>
  <c r="L103" i="19"/>
  <c r="K126" i="19" s="1"/>
  <c r="L7" i="19"/>
  <c r="M7" i="19" s="1"/>
  <c r="C12" i="14"/>
  <c r="C15" i="14" s="1"/>
  <c r="B50" i="26"/>
  <c r="K128" i="19" l="1"/>
  <c r="L126" i="19"/>
  <c r="L128" i="19" s="1"/>
  <c r="L13" i="19"/>
  <c r="M128" i="19" s="1"/>
  <c r="M103" i="19"/>
  <c r="D15" i="14"/>
  <c r="C18" i="14"/>
  <c r="D18" i="14" s="1"/>
  <c r="D16" i="14"/>
  <c r="N128" i="19" l="1"/>
  <c r="B14" i="19"/>
  <c r="B15" i="19" s="1"/>
  <c r="M13" i="19"/>
  <c r="F12" i="14"/>
  <c r="E16" i="14" s="1"/>
  <c r="E18" i="14" l="1"/>
  <c r="F18" i="14" s="1"/>
  <c r="F16" i="14"/>
</calcChain>
</file>

<file path=xl/sharedStrings.xml><?xml version="1.0" encoding="utf-8"?>
<sst xmlns="http://schemas.openxmlformats.org/spreadsheetml/2006/main" count="349" uniqueCount="230">
  <si>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</si>
  <si>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</si>
  <si>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</si>
  <si>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</si>
  <si>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</si>
  <si>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</si>
  <si>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</si>
  <si>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</si>
  <si>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</si>
  <si>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</si>
  <si>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</si>
  <si>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</si>
  <si>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</si>
  <si>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</si>
  <si>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</si>
  <si>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</si>
  <si>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</si>
  <si>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</si>
  <si>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</si>
  <si>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</si>
  <si>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</si>
  <si>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</si>
  <si>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</si>
  <si>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</si>
  <si>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</si>
  <si>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</si>
  <si>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</si>
  <si>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</si>
  <si>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</si>
  <si>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</si>
  <si>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</si>
  <si>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</si>
  <si>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</si>
  <si>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</si>
  <si>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</si>
  <si>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</si>
  <si>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</si>
  <si>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</si>
  <si>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</si>
  <si>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</si>
  <si>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</si>
  <si>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</si>
  <si>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</si>
  <si>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</si>
  <si>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</si>
  <si>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</si>
  <si>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Providence St. John's Health Center - CFDC</t>
  </si>
  <si>
    <t>PROGRAM NAME:</t>
  </si>
  <si>
    <t>Youth Development Program</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</si>
  <si>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</si>
  <si>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</si>
  <si>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</si>
  <si>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</si>
  <si>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</si>
  <si>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</si>
  <si>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</si>
  <si>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</si>
  <si>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</si>
  <si>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</si>
  <si>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</si>
  <si>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</si>
  <si>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</si>
  <si>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</si>
  <si>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</si>
  <si>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</si>
  <si>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</si>
  <si>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</si>
  <si>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</si>
  <si>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</si>
  <si>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</si>
  <si>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Noa Saadi</t>
  </si>
  <si>
    <t>Program Coordinator</t>
  </si>
  <si>
    <t>Grace Rougier</t>
  </si>
  <si>
    <t>Clinician</t>
  </si>
  <si>
    <t>Rene Melara</t>
  </si>
  <si>
    <t>Licensed Psychologist</t>
  </si>
  <si>
    <t>Adam Cortez</t>
  </si>
  <si>
    <t>Silvera, Ashley</t>
  </si>
  <si>
    <t>Gail Gutierrez</t>
  </si>
  <si>
    <t>Mental Health Director</t>
  </si>
  <si>
    <t>TBD</t>
  </si>
  <si>
    <t>Social Work Intern</t>
  </si>
  <si>
    <t>Psychology Intern</t>
  </si>
  <si>
    <t>1A.  Staff Salaries TOTAL</t>
  </si>
  <si>
    <t>1B.  Staff Fringe Benefits</t>
  </si>
  <si>
    <t>List each fringe benefit as a percentage of total staff salaries listed above (FICA, SUI, Workers’ Compensation, Medical Insurance, Retirement, etc.).</t>
  </si>
  <si>
    <t>Description</t>
  </si>
  <si>
    <t>Medical, Dental, Life Insurance</t>
  </si>
  <si>
    <t>FICA</t>
  </si>
  <si>
    <t xml:space="preserve">SUI </t>
  </si>
  <si>
    <t xml:space="preserve">FUTA </t>
  </si>
  <si>
    <t xml:space="preserve">Worker's Comp </t>
  </si>
  <si>
    <t>Retirement</t>
  </si>
  <si>
    <t>0.0355</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</si>
  <si>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</si>
  <si>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</si>
  <si>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</si>
  <si>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</si>
  <si>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</si>
  <si>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</si>
  <si>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Direct Expense</t>
  </si>
  <si>
    <t>Training (not reimbursed by City of Santa Monica)</t>
  </si>
  <si>
    <t>Meeting Expense</t>
  </si>
  <si>
    <t>Travel</t>
  </si>
  <si>
    <t>Professional Fees</t>
  </si>
  <si>
    <t>Purchase Services</t>
  </si>
  <si>
    <t>Telephone</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</si>
  <si>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</si>
  <si>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</si>
  <si>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</si>
  <si>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</si>
  <si>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</si>
  <si>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</si>
  <si>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</si>
  <si>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</si>
  <si>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</si>
  <si>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</si>
  <si>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</si>
  <si>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</si>
  <si>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10%</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</si>
  <si>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</si>
  <si>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</si>
  <si>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</si>
  <si>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</si>
  <si>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</si>
  <si>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</si>
  <si>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</si>
  <si>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</si>
  <si>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</si>
  <si>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</si>
  <si>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</si>
  <si>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</si>
  <si>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</si>
  <si>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</si>
  <si>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</si>
  <si>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</si>
  <si>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</si>
  <si>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</si>
  <si>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6.  Other</t>
  </si>
  <si>
    <t>Foundation Funds</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</si>
  <si>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</si>
  <si>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</si>
  <si>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</si>
  <si>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</si>
  <si>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</si>
  <si>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</si>
  <si>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</si>
  <si>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</si>
  <si>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</si>
  <si>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</si>
  <si>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</si>
  <si>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</si>
  <si>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*Unable to collect</t>
  </si>
  <si>
    <t xml:space="preserve">Unable to Collect </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</si>
  <si>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</si>
  <si>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</si>
  <si>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</si>
  <si>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</si>
  <si>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</si>
  <si>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</si>
  <si>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</si>
  <si>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</si>
  <si>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</si>
  <si>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</si>
  <si>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</si>
  <si>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</si>
  <si>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</si>
  <si>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</si>
  <si>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</si>
  <si>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</si>
  <si>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</si>
  <si>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</si>
  <si>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</si>
  <si>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</si>
  <si>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</si>
  <si>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</si>
  <si>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</si>
  <si>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(nonbinary)</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</si>
  <si>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</si>
  <si>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</si>
  <si>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</si>
  <si>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</si>
  <si>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</si>
  <si>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</si>
  <si>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</si>
  <si>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</si>
  <si>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</si>
  <si>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</si>
  <si>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</si>
  <si>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</si>
  <si>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</si>
  <si>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</si>
  <si>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</si>
  <si>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</si>
  <si>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</si>
  <si>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</si>
  <si>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</si>
  <si>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</si>
  <si>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</si>
  <si>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</si>
  <si>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</si>
  <si>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</si>
  <si>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</si>
  <si>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</si>
  <si>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</si>
  <si>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</si>
  <si>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</si>
  <si>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</si>
  <si>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</si>
  <si>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</si>
  <si>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</si>
  <si>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</si>
  <si>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</si>
  <si>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</si>
  <si>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</si>
  <si>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</si>
  <si>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</si>
  <si>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County</t>
  </si>
  <si>
    <t>LA County Dept of Mental Health</t>
  </si>
  <si>
    <t xml:space="preserve">County </t>
  </si>
  <si>
    <t>DCFS PFF Grant</t>
  </si>
  <si>
    <t>Local</t>
  </si>
  <si>
    <t>City of Santa Monica</t>
  </si>
  <si>
    <t>Atlas, Deutsch, CIF, Stockel</t>
  </si>
  <si>
    <t>WIN</t>
  </si>
  <si>
    <t>Insurance, Medicare, Co=Pay</t>
  </si>
  <si>
    <t>ECD Tuition</t>
  </si>
  <si>
    <t>post covid - children returning to daycare</t>
  </si>
  <si>
    <t>Johnson, Marie E</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</si>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</sst>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3"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52">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1" fillId="0" borderId="0" xfId="3" applyAlignment="1" applyProtection="1">
      <alignment wrapText="1"/>
    </xf>
    <xf numFmtId="0" fontId="1" fillId="0" borderId="49"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42" fontId="3" fillId="12" borderId="12" xfId="3" applyNumberFormat="1" applyFont="1" applyFill="1" applyBorder="1" applyProtection="1"/>
    <xf numFmtId="0" fontId="1" fillId="12" borderId="12" xfId="3"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20" xfId="3" applyNumberFormat="1" applyFill="1" applyBorder="1" applyAlignment="1" applyProtection="1">
      <alignment horizontal="left" vertical="top"/>
    </xf>
    <xf numFmtId="49" fontId="1" fillId="12" borderId="20" xfId="3" applyNumberFormat="1" applyFont="1" applyFill="1" applyBorder="1" applyAlignment="1" applyProtection="1">
      <alignment horizontal="left" vertical="top"/>
    </xf>
    <xf numFmtId="49" fontId="1" fillId="12" borderId="20" xfId="3"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9" fontId="1" fillId="12" borderId="51" xfId="3" applyNumberFormat="1" applyFill="1" applyBorder="1" applyAlignment="1" applyProtection="1">
      <alignment horizontal="left" vertical="top"/>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1" fontId="4" fillId="12" borderId="14" xfId="3" applyNumberFormat="1" applyFont="1" applyFill="1" applyBorder="1" applyAlignment="1" applyProtection="1">
      <alignment horizontal="center" vertical="center" wrapText="1"/>
    </xf>
    <xf numFmtId="0" fontId="21" fillId="4" borderId="47" xfId="3" applyFont="1" applyFill="1" applyBorder="1" applyAlignment="1" applyProtection="1">
      <alignment horizontal="center" vertical="center"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21" fillId="4" borderId="46" xfId="3" applyFont="1" applyFill="1" applyBorder="1" applyAlignment="1" applyProtection="1">
      <alignment horizontal="center" vertical="center" wrapText="1"/>
    </xf>
    <xf numFmtId="1" fontId="21" fillId="6" borderId="14" xfId="3" applyNumberFormat="1" applyFont="1" applyFill="1" applyBorder="1" applyAlignment="1" applyProtection="1">
      <alignment horizontal="center" vertic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8" xfId="2" applyNumberFormat="1" applyFont="1" applyFill="1" applyBorder="1" applyProtection="1"/>
    <xf numFmtId="42" fontId="1" fillId="6" borderId="23" xfId="2" applyNumberFormat="1" applyFont="1" applyFill="1" applyBorder="1" applyProtection="1"/>
    <xf numFmtId="42" fontId="1" fillId="6" borderId="27" xfId="2" applyNumberFormat="1" applyFont="1" applyFill="1" applyBorder="1" applyProtection="1"/>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7" xfId="3" applyFont="1" applyFill="1" applyBorder="1" applyAlignment="1" applyProtection="1">
      <alignment horizontal="left" vertical="center" wrapText="1"/>
    </xf>
    <xf numFmtId="0" fontId="21" fillId="4" borderId="50" xfId="3" applyFont="1" applyFill="1" applyBorder="1" applyAlignment="1" applyProtection="1">
      <alignment horizontal="left" vertical="center" wrapText="1"/>
    </xf>
    <xf numFmtId="0" fontId="21" fillId="4" borderId="48"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6"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30" t="s">
        <v>0</v>
      </c>
      <c r="B1" s="330"/>
      <c r="C1" s="330"/>
    </row>
    <row r="2" spans="1:3" ht="18" x14ac:dyDescent="0.25">
      <c r="A2" s="330" t="s">
        <v>1</v>
      </c>
      <c r="B2" s="330"/>
      <c r="C2" s="330"/>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31" t="s">
        <v>9</v>
      </c>
      <c r="B8" s="331"/>
      <c r="C8" s="331"/>
    </row>
    <row r="9" spans="1:3" ht="74.25" customHeight="1" x14ac:dyDescent="0.2">
      <c r="A9" s="329" t="s">
        <v>10</v>
      </c>
      <c r="B9" s="329"/>
      <c r="C9" s="329"/>
    </row>
    <row r="10" spans="1:3" ht="45.75" customHeight="1" x14ac:dyDescent="0.2">
      <c r="A10" s="329" t="s">
        <v>11</v>
      </c>
      <c r="B10" s="329"/>
      <c r="C10" s="329"/>
    </row>
    <row r="11" spans="1:3" ht="57" customHeight="1" x14ac:dyDescent="0.2">
      <c r="A11" s="329" t="s">
        <v>12</v>
      </c>
      <c r="B11" s="329"/>
      <c r="C11" s="329"/>
    </row>
    <row r="12" spans="1:3" ht="11.25" customHeight="1" x14ac:dyDescent="0.2">
      <c r="A12" s="329"/>
      <c r="B12" s="329"/>
      <c r="C12" s="329"/>
    </row>
    <row r="13" spans="1:3" ht="15" customHeight="1" x14ac:dyDescent="0.2">
      <c r="A13" s="331" t="s">
        <v>13</v>
      </c>
      <c r="B13" s="331"/>
      <c r="C13" s="331"/>
    </row>
    <row r="14" spans="1:3" ht="65.25" customHeight="1" x14ac:dyDescent="0.2">
      <c r="A14" s="329" t="s">
        <v>14</v>
      </c>
      <c r="B14" s="329"/>
      <c r="C14" s="329"/>
    </row>
    <row r="15" spans="1:3" s="41" customFormat="1" ht="50.25" customHeight="1" x14ac:dyDescent="0.2">
      <c r="A15" s="329" t="s">
        <v>15</v>
      </c>
      <c r="B15" s="329"/>
      <c r="C15" s="329"/>
    </row>
    <row r="16" spans="1:3" x14ac:dyDescent="0.2">
      <c r="A16" s="329"/>
      <c r="B16" s="329"/>
      <c r="C16" s="329"/>
    </row>
    <row r="17" spans="1:3" ht="16.5" customHeight="1" x14ac:dyDescent="0.2">
      <c r="A17" s="332" t="s">
        <v>16</v>
      </c>
      <c r="B17" s="332"/>
      <c r="C17" s="332"/>
    </row>
    <row r="18" spans="1:3" ht="30.75" customHeight="1" x14ac:dyDescent="0.2">
      <c r="A18" s="333" t="s">
        <v>17</v>
      </c>
      <c r="B18" s="333"/>
      <c r="C18" s="333"/>
    </row>
    <row r="19" spans="1:3" ht="30" customHeight="1" x14ac:dyDescent="0.2">
      <c r="A19" s="333" t="s">
        <v>18</v>
      </c>
      <c r="B19" s="333"/>
      <c r="C19" s="333"/>
    </row>
    <row r="20" spans="1:3" s="41" customFormat="1" ht="24.75" customHeight="1" x14ac:dyDescent="0.2">
      <c r="A20" s="333" t="s">
        <v>19</v>
      </c>
      <c r="B20" s="333"/>
      <c r="C20" s="333"/>
    </row>
    <row r="21" spans="1:3" ht="30" customHeight="1" x14ac:dyDescent="0.2">
      <c r="A21" s="333" t="s">
        <v>20</v>
      </c>
      <c r="B21" s="333"/>
      <c r="C21" s="333"/>
    </row>
    <row r="22" spans="1:3" x14ac:dyDescent="0.2">
      <c r="A22" s="329"/>
      <c r="B22" s="329"/>
      <c r="C22" s="329"/>
    </row>
    <row r="23" spans="1:3" ht="12.75" customHeight="1" x14ac:dyDescent="0.2">
      <c r="A23" s="332" t="s">
        <v>21</v>
      </c>
      <c r="B23" s="332"/>
      <c r="C23" s="332"/>
    </row>
    <row r="24" spans="1:3" s="41" customFormat="1" ht="156.75" customHeight="1" x14ac:dyDescent="0.2">
      <c r="A24" s="335" t="s">
        <v>22</v>
      </c>
      <c r="B24" s="335"/>
      <c r="C24" s="335"/>
    </row>
    <row r="25" spans="1:3" ht="160.5" customHeight="1" x14ac:dyDescent="0.2">
      <c r="A25" s="333" t="s">
        <v>23</v>
      </c>
      <c r="B25" s="333"/>
      <c r="C25" s="333"/>
    </row>
    <row r="26" spans="1:3" x14ac:dyDescent="0.2">
      <c r="A26" s="329"/>
      <c r="B26" s="329"/>
      <c r="C26" s="329"/>
    </row>
    <row r="27" spans="1:3" ht="13.5" customHeight="1" x14ac:dyDescent="0.2">
      <c r="A27" s="332" t="s">
        <v>24</v>
      </c>
      <c r="B27" s="332"/>
      <c r="C27" s="332"/>
    </row>
    <row r="28" spans="1:3" ht="54" customHeight="1" x14ac:dyDescent="0.2">
      <c r="A28" s="333" t="s">
        <v>25</v>
      </c>
      <c r="B28" s="333"/>
      <c r="C28" s="333"/>
    </row>
    <row r="29" spans="1:3" ht="31.5" customHeight="1" x14ac:dyDescent="0.2">
      <c r="A29" s="333" t="s">
        <v>26</v>
      </c>
      <c r="B29" s="333"/>
      <c r="C29" s="333"/>
    </row>
    <row r="30" spans="1:3" ht="55.5" customHeight="1" x14ac:dyDescent="0.2">
      <c r="A30" s="333" t="s">
        <v>27</v>
      </c>
      <c r="B30" s="333"/>
      <c r="C30" s="333"/>
    </row>
    <row r="31" spans="1:3" x14ac:dyDescent="0.2">
      <c r="A31" s="329"/>
      <c r="B31" s="329"/>
      <c r="C31" s="329"/>
    </row>
    <row r="32" spans="1:3" x14ac:dyDescent="0.2">
      <c r="A32" s="331" t="s">
        <v>28</v>
      </c>
      <c r="B32" s="331"/>
      <c r="C32" s="331"/>
    </row>
    <row r="33" spans="1:6" ht="43.5" customHeight="1" x14ac:dyDescent="0.2">
      <c r="A33" s="329" t="s">
        <v>29</v>
      </c>
      <c r="B33" s="329"/>
      <c r="C33" s="329"/>
    </row>
    <row r="35" spans="1:6" x14ac:dyDescent="0.2">
      <c r="A35" s="331" t="s">
        <v>30</v>
      </c>
      <c r="B35" s="331"/>
      <c r="C35" s="331"/>
    </row>
    <row r="36" spans="1:6" ht="54" customHeight="1" x14ac:dyDescent="0.2">
      <c r="A36" s="329" t="s">
        <v>31</v>
      </c>
      <c r="B36" s="329"/>
      <c r="C36" s="329"/>
    </row>
    <row r="37" spans="1:6" x14ac:dyDescent="0.2">
      <c r="A37" s="329"/>
      <c r="B37" s="329"/>
      <c r="C37" s="329"/>
    </row>
    <row r="38" spans="1:6" x14ac:dyDescent="0.2">
      <c r="A38" s="331" t="s">
        <v>32</v>
      </c>
      <c r="B38" s="331"/>
      <c r="C38" s="331"/>
    </row>
    <row r="39" spans="1:6" ht="87.75" customHeight="1" x14ac:dyDescent="0.2">
      <c r="A39" s="334" t="s">
        <v>33</v>
      </c>
      <c r="B39" s="334"/>
      <c r="C39" s="334"/>
      <c r="D39" s="155"/>
      <c r="E39" s="155"/>
      <c r="F39" s="155"/>
    </row>
  </sheetData>
  <sheetProtection algorithmName="SHA-512" hashValue="pAQwDhqkL0T2dGTscSETCMP5ntACNsKKqGoWvFXnjrwnI3KWGLbZK2wRWx9MEYh3x4EXSyv7NASu6sxVZulRsQ==" saltValue="P8tucjWAoQxs4kM4bW5BGQ=="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C2 – Program Budget
&amp;C&amp;P&amp;RFiscal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31"/>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G41</f>
        <v>383182.8</v>
      </c>
      <c r="H6" s="178">
        <f t="shared" si="0"/>
        <v>262741.34600000002</v>
      </c>
      <c r="I6" s="178">
        <f t="shared" si="0"/>
        <v>120441.454</v>
      </c>
      <c r="J6" s="178">
        <f t="shared" ref="J6:K6" si="1">J41</f>
        <v>131371.10999999999</v>
      </c>
      <c r="K6" s="178">
        <f t="shared" si="1"/>
        <v>131369.89000000001</v>
      </c>
      <c r="L6" s="178">
        <f>L41</f>
        <v>262741</v>
      </c>
      <c r="M6" s="33">
        <f t="shared" ref="M6:M13" si="2">IFERROR(L6/H6,"N/A")</f>
        <v>0.99999868311552298</v>
      </c>
      <c r="N6" s="180">
        <f>N41</f>
        <v>401506.84</v>
      </c>
    </row>
    <row r="7" spans="1:14" x14ac:dyDescent="0.2">
      <c r="A7" s="197" t="s">
        <v>47</v>
      </c>
      <c r="B7" s="231" t="s">
        <v>48</v>
      </c>
      <c r="C7" s="231"/>
      <c r="D7" s="190" t="str">
        <f>A43</f>
        <v>1B.  Staff Fringe Benefits</v>
      </c>
      <c r="E7" s="30"/>
      <c r="F7" s="30"/>
      <c r="G7" s="178">
        <f t="shared" ref="G7:I7" si="3">G54</f>
        <v>118786.66799999998</v>
      </c>
      <c r="H7" s="178">
        <f t="shared" si="3"/>
        <v>20100.712969</v>
      </c>
      <c r="I7" s="178">
        <f t="shared" si="3"/>
        <v>98685.95503099999</v>
      </c>
      <c r="J7" s="178">
        <f>J54</f>
        <v>10049.89</v>
      </c>
      <c r="K7" s="178">
        <f>K54</f>
        <v>10050.796585</v>
      </c>
      <c r="L7" s="178">
        <f>L54</f>
        <v>20100.686584999999</v>
      </c>
      <c r="M7" s="33">
        <f t="shared" si="2"/>
        <v>0.99999868740974307</v>
      </c>
      <c r="N7" s="180">
        <f>N54</f>
        <v>124467.1204</v>
      </c>
    </row>
    <row r="8" spans="1:14" x14ac:dyDescent="0.2">
      <c r="A8" s="135"/>
      <c r="B8" s="30"/>
      <c r="C8" s="30"/>
      <c r="D8" s="190" t="str">
        <f>A56</f>
        <v>2.  Consultant Services</v>
      </c>
      <c r="E8" s="30"/>
      <c r="F8" s="30"/>
      <c r="G8" s="178">
        <f t="shared" ref="G8:I8" si="4">G62</f>
        <v>0</v>
      </c>
      <c r="H8" s="178">
        <f t="shared" si="4"/>
        <v>0</v>
      </c>
      <c r="I8" s="178">
        <f t="shared" si="4"/>
        <v>0</v>
      </c>
      <c r="J8" s="178">
        <f>J62</f>
        <v>0</v>
      </c>
      <c r="K8" s="178">
        <f>K62</f>
        <v>0</v>
      </c>
      <c r="L8" s="178">
        <f>L62</f>
        <v>0</v>
      </c>
      <c r="M8" s="33" t="str">
        <f t="shared" si="2"/>
        <v>N/A</v>
      </c>
      <c r="N8" s="180">
        <f>N62</f>
        <v>0</v>
      </c>
    </row>
    <row r="9" spans="1:14" x14ac:dyDescent="0.2">
      <c r="A9" s="135"/>
      <c r="B9" s="30"/>
      <c r="C9" s="30"/>
      <c r="D9" s="190" t="str">
        <f>A64</f>
        <v>3.  Operating Expenses</v>
      </c>
      <c r="E9" s="30"/>
      <c r="F9" s="30"/>
      <c r="G9" s="178">
        <f t="shared" ref="G9:L9" si="5">G76</f>
        <v>2510</v>
      </c>
      <c r="H9" s="178">
        <f t="shared" si="5"/>
        <v>0</v>
      </c>
      <c r="I9" s="178">
        <f t="shared" si="5"/>
        <v>2510</v>
      </c>
      <c r="J9" s="178">
        <f t="shared" si="5"/>
        <v>0</v>
      </c>
      <c r="K9" s="178">
        <f t="shared" si="5"/>
        <v>0</v>
      </c>
      <c r="L9" s="178">
        <f t="shared" si="5"/>
        <v>0</v>
      </c>
      <c r="M9" s="33" t="str">
        <f t="shared" si="2"/>
        <v>N/A</v>
      </c>
      <c r="N9" s="180">
        <f>N76</f>
        <v>19540.719999999998</v>
      </c>
    </row>
    <row r="10" spans="1:14" x14ac:dyDescent="0.2">
      <c r="A10" s="27" t="s">
        <v>49</v>
      </c>
      <c r="B10" s="321" t="s">
        <v>50</v>
      </c>
      <c r="C10" s="30"/>
      <c r="D10" s="190" t="str">
        <f>A78</f>
        <v>4.  Direct Client Support</v>
      </c>
      <c r="E10" s="30"/>
      <c r="F10" s="30"/>
      <c r="G10" s="178">
        <f>G84</f>
        <v>0</v>
      </c>
      <c r="H10" s="178">
        <f t="shared" ref="H10:N10" si="6">H84</f>
        <v>0</v>
      </c>
      <c r="I10" s="178">
        <f t="shared" si="6"/>
        <v>0</v>
      </c>
      <c r="J10" s="178">
        <f t="shared" si="6"/>
        <v>0</v>
      </c>
      <c r="K10" s="178">
        <f t="shared" si="6"/>
        <v>0</v>
      </c>
      <c r="L10" s="178">
        <f t="shared" si="6"/>
        <v>0</v>
      </c>
      <c r="M10" s="33" t="str">
        <f t="shared" si="2"/>
        <v>N/A</v>
      </c>
      <c r="N10" s="180">
        <f t="shared" si="6"/>
        <v>0</v>
      </c>
    </row>
    <row r="11" spans="1:14" x14ac:dyDescent="0.2">
      <c r="A11" s="135"/>
      <c r="B11" s="30"/>
      <c r="C11" s="30"/>
      <c r="D11" s="190" t="str">
        <f>A86</f>
        <v>5.  Other</v>
      </c>
      <c r="E11" s="30"/>
      <c r="F11" s="30"/>
      <c r="G11" s="178">
        <f>G92</f>
        <v>0</v>
      </c>
      <c r="H11" s="178">
        <f t="shared" ref="H11:N11" si="7">H92</f>
        <v>0</v>
      </c>
      <c r="I11" s="178">
        <f t="shared" si="7"/>
        <v>0</v>
      </c>
      <c r="J11" s="178">
        <f t="shared" si="7"/>
        <v>0</v>
      </c>
      <c r="K11" s="178">
        <f t="shared" si="7"/>
        <v>0</v>
      </c>
      <c r="L11" s="178">
        <f t="shared" si="7"/>
        <v>0</v>
      </c>
      <c r="M11" s="33" t="str">
        <f t="shared" si="2"/>
        <v>N/A</v>
      </c>
      <c r="N11" s="180">
        <f t="shared" si="7"/>
        <v>0</v>
      </c>
    </row>
    <row r="12" spans="1:14" x14ac:dyDescent="0.2">
      <c r="A12" s="135"/>
      <c r="B12" s="30"/>
      <c r="C12" s="30"/>
      <c r="D12" s="190" t="str">
        <f>A94</f>
        <v>6.  Indirect Administrative Costs</v>
      </c>
      <c r="E12" s="30"/>
      <c r="F12" s="30"/>
      <c r="G12" s="178">
        <f>G101</f>
        <v>50621</v>
      </c>
      <c r="H12" s="178">
        <f t="shared" ref="H12:L12" si="8">H101</f>
        <v>0</v>
      </c>
      <c r="I12" s="178">
        <f t="shared" si="8"/>
        <v>50621</v>
      </c>
      <c r="J12" s="178">
        <f t="shared" si="8"/>
        <v>0</v>
      </c>
      <c r="K12" s="178">
        <f t="shared" si="8"/>
        <v>0</v>
      </c>
      <c r="L12" s="178">
        <f t="shared" si="8"/>
        <v>0</v>
      </c>
      <c r="M12" s="33" t="str">
        <f t="shared" si="2"/>
        <v>N/A</v>
      </c>
      <c r="N12" s="180">
        <f>N101</f>
        <v>0</v>
      </c>
    </row>
    <row r="13" spans="1:14" x14ac:dyDescent="0.2">
      <c r="A13" s="135" t="s">
        <v>51</v>
      </c>
      <c r="B13" s="322">
        <v>282842</v>
      </c>
      <c r="C13" s="30"/>
      <c r="D13" s="191" t="str">
        <f>C103</f>
        <v>7.   TOTAL BUDGET</v>
      </c>
      <c r="E13" s="26"/>
      <c r="F13" s="26"/>
      <c r="G13" s="179">
        <f>G103</f>
        <v>555100.46799999999</v>
      </c>
      <c r="H13" s="179">
        <f t="shared" ref="H13:L13" si="9">H103</f>
        <v>282842.05896900001</v>
      </c>
      <c r="I13" s="179">
        <f t="shared" si="9"/>
        <v>272258.40903099999</v>
      </c>
      <c r="J13" s="179">
        <f t="shared" si="9"/>
        <v>141421</v>
      </c>
      <c r="K13" s="179">
        <f t="shared" si="9"/>
        <v>141420.68658500002</v>
      </c>
      <c r="L13" s="179">
        <f t="shared" si="9"/>
        <v>282841.68658500002</v>
      </c>
      <c r="M13" s="35">
        <f t="shared" si="2"/>
        <v>0.99999868342070009</v>
      </c>
      <c r="N13" s="181">
        <f>N103</f>
        <v>545514.68039999995</v>
      </c>
    </row>
    <row r="14" spans="1:14" x14ac:dyDescent="0.2">
      <c r="A14" s="135" t="s">
        <v>52</v>
      </c>
      <c r="B14" s="198">
        <f>L13</f>
        <v>282841.68658500002</v>
      </c>
      <c r="C14" s="30"/>
      <c r="D14" s="30"/>
      <c r="E14" s="30"/>
      <c r="F14" s="30"/>
      <c r="G14" s="30"/>
      <c r="H14" s="30"/>
      <c r="I14" s="30"/>
      <c r="J14" s="30"/>
      <c r="K14" s="30"/>
      <c r="L14" s="30"/>
      <c r="M14" s="30"/>
      <c r="N14" s="160"/>
    </row>
    <row r="15" spans="1:14" x14ac:dyDescent="0.2">
      <c r="A15" s="135" t="s">
        <v>53</v>
      </c>
      <c r="B15" s="198">
        <f>B13-B14</f>
        <v>0.31341499998234212</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229</v>
      </c>
      <c r="F26" s="34" t="s">
        <v>69</v>
      </c>
      <c r="G26" s="34" t="s">
        <v>37</v>
      </c>
      <c r="H26" s="34" t="s">
        <v>38</v>
      </c>
      <c r="I26" s="34" t="s">
        <v>39</v>
      </c>
      <c r="J26" s="34" t="s">
        <v>40</v>
      </c>
      <c r="K26" s="34" t="s">
        <v>41</v>
      </c>
      <c r="L26" s="34" t="s">
        <v>42</v>
      </c>
      <c r="M26" s="45" t="s">
        <v>43</v>
      </c>
      <c r="N26" s="129" t="s">
        <v>44</v>
      </c>
    </row>
    <row r="27" spans="1:14" hidden="1" outlineLevel="1" x14ac:dyDescent="0.2">
      <c r="A27" s="271" t="s">
        <v>78</v>
      </c>
      <c r="B27" s="272" t="s">
        <v>79</v>
      </c>
      <c r="C27" s="273" t="s">
        <v>55</v>
      </c>
      <c r="D27" s="274">
        <v>1</v>
      </c>
      <c r="E27" s="275">
        <v>7.4999999999999997E-2</v>
      </c>
      <c r="F27" s="327">
        <f>D27*E27</f>
        <v>7.4999999999999997E-2</v>
      </c>
      <c r="G27" s="277">
        <f>58.5*2080*7.5%</f>
        <v>9126</v>
      </c>
      <c r="H27" s="277">
        <v>0</v>
      </c>
      <c r="I27" s="182">
        <f>G27-H27</f>
        <v>9126</v>
      </c>
      <c r="J27" s="309">
        <v>0</v>
      </c>
      <c r="K27" s="309">
        <v>0</v>
      </c>
      <c r="L27" s="175">
        <f>SUM(J27:K27)</f>
        <v>0</v>
      </c>
      <c r="M27" s="33" t="str">
        <f>IFERROR(L27/H27,"N/A")</f>
        <v>N/A</v>
      </c>
      <c r="N27" s="323">
        <v>9126</v>
      </c>
    </row>
    <row r="28" spans="1:14" collapsed="1" x14ac:dyDescent="0.2">
      <c r="A28" s="271"/>
      <c r="B28" s="272"/>
      <c r="C28" s="273" t="s">
        <v>55</v>
      </c>
      <c r="D28" s="274"/>
      <c r="E28" s="327">
        <f>SUM(F27)</f>
        <v>7.4999999999999997E-2</v>
      </c>
      <c r="F28" s="276"/>
      <c r="G28" s="277">
        <f>SUM(G27)</f>
        <v>9126</v>
      </c>
      <c r="H28" s="277">
        <f t="shared" ref="H28:L28" si="10">SUM(H27)</f>
        <v>0</v>
      </c>
      <c r="I28" s="182">
        <f t="shared" si="10"/>
        <v>9126</v>
      </c>
      <c r="J28" s="309">
        <f t="shared" si="10"/>
        <v>0</v>
      </c>
      <c r="K28" s="309">
        <f t="shared" si="10"/>
        <v>0</v>
      </c>
      <c r="L28" s="175">
        <f t="shared" si="10"/>
        <v>0</v>
      </c>
      <c r="M28" s="33" t="str">
        <f>IFERROR(L28/H28,"N/A")</f>
        <v>N/A</v>
      </c>
      <c r="N28" s="323">
        <f>SUM(N27)</f>
        <v>9126</v>
      </c>
    </row>
    <row r="29" spans="1:14" hidden="1" outlineLevel="1" x14ac:dyDescent="0.2">
      <c r="A29" s="271" t="s">
        <v>70</v>
      </c>
      <c r="B29" s="272" t="s">
        <v>71</v>
      </c>
      <c r="C29" s="273" t="s">
        <v>60</v>
      </c>
      <c r="D29" s="274">
        <v>1</v>
      </c>
      <c r="E29" s="275">
        <v>0.9</v>
      </c>
      <c r="F29" s="327">
        <f t="shared" ref="F29:F38" si="11">D29*E29</f>
        <v>0.9</v>
      </c>
      <c r="G29" s="277">
        <f>53.15*2080*90%</f>
        <v>99496.8</v>
      </c>
      <c r="H29" s="277">
        <f>(G29*62%-10)+2110.98</f>
        <v>63788.996000000006</v>
      </c>
      <c r="I29" s="178">
        <f>G29-H29</f>
        <v>35707.803999999996</v>
      </c>
      <c r="J29" s="309">
        <v>32949.620000000003</v>
      </c>
      <c r="K29" s="309">
        <v>30839.38</v>
      </c>
      <c r="L29" s="175">
        <f t="shared" ref="L29:L40" si="12">SUM(J29:K29)</f>
        <v>63789</v>
      </c>
      <c r="M29" s="33">
        <f t="shared" ref="M29:M41" si="13">IFERROR(L29/H29,"N/A")</f>
        <v>1.00000006270674</v>
      </c>
      <c r="N29" s="323">
        <v>112580</v>
      </c>
    </row>
    <row r="30" spans="1:14" hidden="1" outlineLevel="1" x14ac:dyDescent="0.2">
      <c r="A30" s="271" t="s">
        <v>72</v>
      </c>
      <c r="B30" s="272" t="s">
        <v>73</v>
      </c>
      <c r="C30" s="273" t="s">
        <v>60</v>
      </c>
      <c r="D30" s="274">
        <v>1</v>
      </c>
      <c r="E30" s="275">
        <v>1</v>
      </c>
      <c r="F30" s="327">
        <f t="shared" si="11"/>
        <v>1</v>
      </c>
      <c r="G30" s="277">
        <f>39.79*2080</f>
        <v>82763.199999999997</v>
      </c>
      <c r="H30" s="277">
        <f>(82763*78%)+909.36</f>
        <v>65464.5</v>
      </c>
      <c r="I30" s="182">
        <f t="shared" ref="I30:I40" si="14">G30-H30</f>
        <v>17298.699999999997</v>
      </c>
      <c r="J30" s="309">
        <v>33186.559999999998</v>
      </c>
      <c r="K30" s="309">
        <v>32277.94</v>
      </c>
      <c r="L30" s="175">
        <f t="shared" si="12"/>
        <v>65464.5</v>
      </c>
      <c r="M30" s="33">
        <f t="shared" si="13"/>
        <v>1</v>
      </c>
      <c r="N30" s="323">
        <v>84076.64</v>
      </c>
    </row>
    <row r="31" spans="1:14" hidden="1" outlineLevel="1" x14ac:dyDescent="0.2">
      <c r="A31" s="271" t="s">
        <v>74</v>
      </c>
      <c r="B31" s="272" t="s">
        <v>75</v>
      </c>
      <c r="C31" s="273" t="s">
        <v>60</v>
      </c>
      <c r="D31" s="274">
        <v>1</v>
      </c>
      <c r="E31" s="275">
        <v>1</v>
      </c>
      <c r="F31" s="327">
        <f t="shared" si="11"/>
        <v>1</v>
      </c>
      <c r="G31" s="277">
        <f>(48.14*2080)-100131.2</f>
        <v>0</v>
      </c>
      <c r="H31" s="277">
        <f>(100131*78%)-78102.18</f>
        <v>0</v>
      </c>
      <c r="I31" s="182">
        <f t="shared" si="14"/>
        <v>0</v>
      </c>
      <c r="J31" s="309">
        <v>0</v>
      </c>
      <c r="K31" s="309">
        <v>0</v>
      </c>
      <c r="L31" s="175">
        <f t="shared" si="12"/>
        <v>0</v>
      </c>
      <c r="M31" s="33" t="str">
        <f t="shared" si="13"/>
        <v>N/A</v>
      </c>
      <c r="N31" s="323">
        <v>0</v>
      </c>
    </row>
    <row r="32" spans="1:14" hidden="1" outlineLevel="1" x14ac:dyDescent="0.2">
      <c r="A32" s="271" t="s">
        <v>76</v>
      </c>
      <c r="B32" s="272" t="s">
        <v>75</v>
      </c>
      <c r="C32" s="273" t="s">
        <v>60</v>
      </c>
      <c r="D32" s="274">
        <v>1</v>
      </c>
      <c r="E32" s="275">
        <v>1</v>
      </c>
      <c r="F32" s="327">
        <f t="shared" si="11"/>
        <v>1</v>
      </c>
      <c r="G32" s="277">
        <f>36*2080</f>
        <v>74880</v>
      </c>
      <c r="H32" s="277">
        <f>(74880*78%)+4844.6</f>
        <v>63251</v>
      </c>
      <c r="I32" s="182">
        <f t="shared" si="14"/>
        <v>11629</v>
      </c>
      <c r="J32" s="309">
        <v>34047.68</v>
      </c>
      <c r="K32" s="309">
        <v>29203.32</v>
      </c>
      <c r="L32" s="175">
        <f t="shared" si="12"/>
        <v>63251</v>
      </c>
      <c r="M32" s="33">
        <f t="shared" si="13"/>
        <v>1</v>
      </c>
      <c r="N32" s="323">
        <v>78807.399999999994</v>
      </c>
    </row>
    <row r="33" spans="1:14" hidden="1" outlineLevel="1" x14ac:dyDescent="0.2">
      <c r="A33" s="271" t="s">
        <v>77</v>
      </c>
      <c r="B33" s="272" t="s">
        <v>75</v>
      </c>
      <c r="C33" s="273" t="s">
        <v>60</v>
      </c>
      <c r="D33" s="274">
        <v>1</v>
      </c>
      <c r="E33" s="275">
        <v>1</v>
      </c>
      <c r="F33" s="327">
        <f t="shared" si="11"/>
        <v>1</v>
      </c>
      <c r="G33" s="277">
        <v>55216</v>
      </c>
      <c r="H33" s="277">
        <v>37498</v>
      </c>
      <c r="I33" s="182">
        <f t="shared" ref="I33" si="15">G33-H33</f>
        <v>17718</v>
      </c>
      <c r="J33" s="309">
        <v>31187.25</v>
      </c>
      <c r="K33" s="309">
        <f>37497.65-J33</f>
        <v>6310.4000000000015</v>
      </c>
      <c r="L33" s="175">
        <f t="shared" ref="L33" si="16">SUM(J33:K33)</f>
        <v>37497.65</v>
      </c>
      <c r="M33" s="33">
        <f t="shared" ref="M33" si="17">IFERROR(L33/H33,"N/A")</f>
        <v>0.99999066616886234</v>
      </c>
      <c r="N33" s="323">
        <f>43596.8+55216</f>
        <v>98812.800000000003</v>
      </c>
    </row>
    <row r="34" spans="1:14" hidden="1" outlineLevel="1" x14ac:dyDescent="0.2">
      <c r="A34" s="271" t="s">
        <v>228</v>
      </c>
      <c r="B34" s="272" t="s">
        <v>75</v>
      </c>
      <c r="C34" s="278" t="s">
        <v>60</v>
      </c>
      <c r="D34" s="279">
        <v>1</v>
      </c>
      <c r="E34" s="280">
        <v>1</v>
      </c>
      <c r="F34" s="327">
        <f t="shared" si="11"/>
        <v>1</v>
      </c>
      <c r="G34" s="277">
        <v>43596.800000000003</v>
      </c>
      <c r="H34" s="277">
        <v>32738.85</v>
      </c>
      <c r="I34" s="182">
        <f t="shared" si="14"/>
        <v>10857.950000000004</v>
      </c>
      <c r="J34" s="309">
        <v>0</v>
      </c>
      <c r="K34" s="309">
        <v>32738.85</v>
      </c>
      <c r="L34" s="175">
        <f t="shared" si="12"/>
        <v>32738.85</v>
      </c>
      <c r="M34" s="33">
        <f t="shared" si="13"/>
        <v>1</v>
      </c>
      <c r="N34" s="323">
        <v>0</v>
      </c>
    </row>
    <row r="35" spans="1:14" hidden="1" outlineLevel="1" x14ac:dyDescent="0.2">
      <c r="A35" s="271" t="s">
        <v>80</v>
      </c>
      <c r="B35" s="272" t="s">
        <v>81</v>
      </c>
      <c r="C35" s="278" t="s">
        <v>60</v>
      </c>
      <c r="D35" s="279">
        <v>1</v>
      </c>
      <c r="E35" s="280">
        <v>0.5</v>
      </c>
      <c r="F35" s="327">
        <f t="shared" si="11"/>
        <v>0.5</v>
      </c>
      <c r="G35" s="277">
        <v>2500</v>
      </c>
      <c r="H35" s="277">
        <v>0</v>
      </c>
      <c r="I35" s="182">
        <f t="shared" si="14"/>
        <v>2500</v>
      </c>
      <c r="J35" s="309">
        <v>0</v>
      </c>
      <c r="K35" s="309">
        <v>0</v>
      </c>
      <c r="L35" s="175">
        <f t="shared" si="12"/>
        <v>0</v>
      </c>
      <c r="M35" s="33" t="str">
        <f t="shared" ref="M35:M40" si="18">IFERROR(L35/H35,"N/A")</f>
        <v>N/A</v>
      </c>
      <c r="N35" s="323">
        <v>2500</v>
      </c>
    </row>
    <row r="36" spans="1:14" hidden="1" outlineLevel="1" x14ac:dyDescent="0.2">
      <c r="A36" s="271" t="s">
        <v>80</v>
      </c>
      <c r="B36" s="272" t="s">
        <v>81</v>
      </c>
      <c r="C36" s="278" t="s">
        <v>60</v>
      </c>
      <c r="D36" s="279">
        <v>1</v>
      </c>
      <c r="E36" s="280">
        <v>0.5</v>
      </c>
      <c r="F36" s="327">
        <f t="shared" si="11"/>
        <v>0.5</v>
      </c>
      <c r="G36" s="277">
        <v>2500</v>
      </c>
      <c r="H36" s="277">
        <v>0</v>
      </c>
      <c r="I36" s="182">
        <f t="shared" si="14"/>
        <v>2500</v>
      </c>
      <c r="J36" s="309">
        <v>0</v>
      </c>
      <c r="K36" s="309">
        <v>0</v>
      </c>
      <c r="L36" s="175">
        <f t="shared" si="12"/>
        <v>0</v>
      </c>
      <c r="M36" s="33" t="str">
        <f t="shared" si="18"/>
        <v>N/A</v>
      </c>
      <c r="N36" s="323">
        <v>2500</v>
      </c>
    </row>
    <row r="37" spans="1:14" hidden="1" outlineLevel="1" x14ac:dyDescent="0.2">
      <c r="A37" s="271" t="s">
        <v>80</v>
      </c>
      <c r="B37" s="272" t="s">
        <v>82</v>
      </c>
      <c r="C37" s="278" t="s">
        <v>60</v>
      </c>
      <c r="D37" s="279">
        <v>1</v>
      </c>
      <c r="E37" s="280">
        <v>0.18</v>
      </c>
      <c r="F37" s="327">
        <f t="shared" si="11"/>
        <v>0.18</v>
      </c>
      <c r="G37" s="277">
        <v>6552</v>
      </c>
      <c r="H37" s="277">
        <v>0</v>
      </c>
      <c r="I37" s="182">
        <f t="shared" si="14"/>
        <v>6552</v>
      </c>
      <c r="J37" s="309">
        <v>0</v>
      </c>
      <c r="K37" s="309">
        <v>0</v>
      </c>
      <c r="L37" s="175">
        <f t="shared" si="12"/>
        <v>0</v>
      </c>
      <c r="M37" s="33" t="str">
        <f t="shared" si="18"/>
        <v>N/A</v>
      </c>
      <c r="N37" s="323">
        <v>6552</v>
      </c>
    </row>
    <row r="38" spans="1:14" hidden="1" outlineLevel="1" x14ac:dyDescent="0.2">
      <c r="A38" s="271" t="s">
        <v>80</v>
      </c>
      <c r="B38" s="272" t="s">
        <v>82</v>
      </c>
      <c r="C38" s="278" t="s">
        <v>60</v>
      </c>
      <c r="D38" s="279">
        <v>1</v>
      </c>
      <c r="E38" s="280">
        <v>0.18</v>
      </c>
      <c r="F38" s="327">
        <f t="shared" si="11"/>
        <v>0.18</v>
      </c>
      <c r="G38" s="277">
        <v>6552</v>
      </c>
      <c r="H38" s="277">
        <v>0</v>
      </c>
      <c r="I38" s="182">
        <f t="shared" si="14"/>
        <v>6552</v>
      </c>
      <c r="J38" s="309">
        <v>0</v>
      </c>
      <c r="K38" s="309">
        <v>0</v>
      </c>
      <c r="L38" s="175">
        <f t="shared" si="12"/>
        <v>0</v>
      </c>
      <c r="M38" s="33" t="str">
        <f t="shared" si="18"/>
        <v>N/A</v>
      </c>
      <c r="N38" s="323">
        <v>6552</v>
      </c>
    </row>
    <row r="39" spans="1:14" collapsed="1" x14ac:dyDescent="0.2">
      <c r="A39" s="271"/>
      <c r="B39" s="272"/>
      <c r="C39" s="278" t="s">
        <v>60</v>
      </c>
      <c r="D39" s="279"/>
      <c r="E39" s="327">
        <f>SUM(F29:F38)</f>
        <v>7.26</v>
      </c>
      <c r="F39" s="281"/>
      <c r="G39" s="277">
        <f>SUM(G29:G38)</f>
        <v>374056.8</v>
      </c>
      <c r="H39" s="277">
        <f t="shared" ref="H39:L39" si="19">SUM(H29:H38)</f>
        <v>262741.34600000002</v>
      </c>
      <c r="I39" s="182">
        <f t="shared" si="19"/>
        <v>111315.454</v>
      </c>
      <c r="J39" s="309">
        <f t="shared" si="19"/>
        <v>131371.10999999999</v>
      </c>
      <c r="K39" s="309">
        <f t="shared" si="19"/>
        <v>131369.89000000001</v>
      </c>
      <c r="L39" s="175">
        <f t="shared" si="19"/>
        <v>262741</v>
      </c>
      <c r="M39" s="33">
        <f t="shared" ref="M39" si="20">IFERROR(L39/H39,"N/A")</f>
        <v>0.99999868311552298</v>
      </c>
      <c r="N39" s="323">
        <f>SUM(N29:N38)</f>
        <v>392380.84</v>
      </c>
    </row>
    <row r="40" spans="1:14" x14ac:dyDescent="0.2">
      <c r="A40" s="271"/>
      <c r="B40" s="272"/>
      <c r="C40" s="278"/>
      <c r="D40" s="279"/>
      <c r="E40" s="280"/>
      <c r="F40" s="281"/>
      <c r="G40" s="277">
        <v>0</v>
      </c>
      <c r="H40" s="277">
        <v>0</v>
      </c>
      <c r="I40" s="182">
        <f t="shared" si="14"/>
        <v>0</v>
      </c>
      <c r="J40" s="309">
        <v>0</v>
      </c>
      <c r="K40" s="309">
        <v>0</v>
      </c>
      <c r="L40" s="175">
        <f t="shared" si="12"/>
        <v>0</v>
      </c>
      <c r="M40" s="33" t="str">
        <f t="shared" si="18"/>
        <v>N/A</v>
      </c>
      <c r="N40" s="323">
        <v>0</v>
      </c>
    </row>
    <row r="41" spans="1:14" ht="13.5" thickBot="1" x14ac:dyDescent="0.25">
      <c r="A41" s="130"/>
      <c r="B41" s="121"/>
      <c r="C41" s="131" t="s">
        <v>83</v>
      </c>
      <c r="D41" s="132"/>
      <c r="E41" s="328">
        <f>SUM(E39,E28)</f>
        <v>7.335</v>
      </c>
      <c r="F41" s="133"/>
      <c r="G41" s="176">
        <f>SUM(G28,G39)</f>
        <v>383182.8</v>
      </c>
      <c r="H41" s="176">
        <f t="shared" ref="H41:L41" si="21">SUM(H28,H39)</f>
        <v>262741.34600000002</v>
      </c>
      <c r="I41" s="176">
        <f t="shared" si="21"/>
        <v>120441.454</v>
      </c>
      <c r="J41" s="176">
        <f t="shared" si="21"/>
        <v>131371.10999999999</v>
      </c>
      <c r="K41" s="176">
        <f t="shared" si="21"/>
        <v>131369.89000000001</v>
      </c>
      <c r="L41" s="176">
        <f t="shared" si="21"/>
        <v>262741</v>
      </c>
      <c r="M41" s="134">
        <f t="shared" si="13"/>
        <v>0.99999868311552298</v>
      </c>
      <c r="N41" s="177">
        <f>SUM(N28,N39)</f>
        <v>401506.84</v>
      </c>
    </row>
    <row r="42" spans="1:14" ht="13.5" thickBot="1" x14ac:dyDescent="0.25">
      <c r="A42" s="30"/>
      <c r="B42" s="30"/>
      <c r="C42" s="30"/>
      <c r="D42" s="30"/>
      <c r="E42" s="30"/>
      <c r="F42" s="30"/>
    </row>
    <row r="43" spans="1:14" x14ac:dyDescent="0.2">
      <c r="A43" s="12" t="s">
        <v>84</v>
      </c>
      <c r="B43" s="11"/>
      <c r="C43" s="11"/>
      <c r="D43" s="11"/>
      <c r="E43" s="11"/>
      <c r="F43" s="10"/>
      <c r="G43" s="9"/>
      <c r="H43" s="9"/>
      <c r="I43" s="9"/>
      <c r="J43" s="9"/>
      <c r="K43" s="9"/>
      <c r="L43" s="9"/>
      <c r="M43" s="8"/>
      <c r="N43" s="7"/>
    </row>
    <row r="44" spans="1:14" s="58" customFormat="1" ht="11.25" x14ac:dyDescent="0.2">
      <c r="A44" s="54" t="s">
        <v>85</v>
      </c>
      <c r="B44" s="63"/>
      <c r="C44" s="63"/>
      <c r="D44" s="63"/>
      <c r="E44" s="63"/>
      <c r="F44" s="56"/>
      <c r="G44" s="15"/>
      <c r="H44" s="15"/>
      <c r="I44" s="15"/>
      <c r="J44" s="15"/>
      <c r="K44" s="15"/>
      <c r="L44" s="15"/>
      <c r="M44" s="14"/>
      <c r="N44" s="13"/>
    </row>
    <row r="45" spans="1:14" ht="33.75" x14ac:dyDescent="0.2">
      <c r="A45" s="48" t="s">
        <v>86</v>
      </c>
      <c r="B45" s="49"/>
      <c r="C45" s="50"/>
      <c r="D45" s="50"/>
      <c r="E45" s="50"/>
      <c r="F45" s="50"/>
      <c r="G45" s="34" t="s">
        <v>37</v>
      </c>
      <c r="H45" s="34" t="s">
        <v>38</v>
      </c>
      <c r="I45" s="34" t="s">
        <v>39</v>
      </c>
      <c r="J45" s="34" t="s">
        <v>40</v>
      </c>
      <c r="K45" s="34" t="s">
        <v>41</v>
      </c>
      <c r="L45" s="34" t="s">
        <v>42</v>
      </c>
      <c r="M45" s="45" t="s">
        <v>43</v>
      </c>
      <c r="N45" s="46" t="s">
        <v>44</v>
      </c>
    </row>
    <row r="46" spans="1:14" x14ac:dyDescent="0.2">
      <c r="A46" s="282" t="s">
        <v>87</v>
      </c>
      <c r="B46" s="282">
        <v>0.17299999999999999</v>
      </c>
      <c r="C46" s="282"/>
      <c r="D46" s="283"/>
      <c r="E46" s="284"/>
      <c r="F46" s="32"/>
      <c r="G46" s="285">
        <f>G41*B46</f>
        <v>66290.624399999986</v>
      </c>
      <c r="H46" s="285">
        <v>0</v>
      </c>
      <c r="I46" s="178">
        <f t="shared" ref="I46" si="22">G46-H46</f>
        <v>66290.624399999986</v>
      </c>
      <c r="J46" s="309">
        <v>0</v>
      </c>
      <c r="K46" s="309">
        <v>0</v>
      </c>
      <c r="L46" s="178">
        <f>SUM(J46:K46)</f>
        <v>0</v>
      </c>
      <c r="M46" s="33" t="str">
        <f>IFERROR(L46/H46,"N/A")</f>
        <v>N/A</v>
      </c>
      <c r="N46" s="324">
        <f>$N$41*B46</f>
        <v>69460.683319999996</v>
      </c>
    </row>
    <row r="47" spans="1:14" x14ac:dyDescent="0.2">
      <c r="A47" s="282" t="s">
        <v>88</v>
      </c>
      <c r="B47" s="282">
        <v>7.6499999999999999E-2</v>
      </c>
      <c r="C47" s="286"/>
      <c r="D47" s="283"/>
      <c r="E47" s="284"/>
      <c r="F47" s="32"/>
      <c r="G47" s="285">
        <f>G41*B47</f>
        <v>29313.484199999999</v>
      </c>
      <c r="H47" s="285">
        <f>H41*B47+1</f>
        <v>20100.712969</v>
      </c>
      <c r="I47" s="182">
        <f t="shared" ref="I47:I53" si="23">G47-H47</f>
        <v>9212.7712309999988</v>
      </c>
      <c r="J47" s="309">
        <v>10049.89</v>
      </c>
      <c r="K47" s="311">
        <f>K41*7.65%+1</f>
        <v>10050.796585</v>
      </c>
      <c r="L47" s="182">
        <f t="shared" ref="L47:L53" si="24">SUM(J47:K47)</f>
        <v>20100.686584999999</v>
      </c>
      <c r="M47" s="31">
        <f t="shared" ref="M47:M53" si="25">IFERROR(L47/H47,"N/A")</f>
        <v>0.99999868740974307</v>
      </c>
      <c r="N47" s="324">
        <f>$N$41*B47</f>
        <v>30715.273260000002</v>
      </c>
    </row>
    <row r="48" spans="1:14" x14ac:dyDescent="0.2">
      <c r="A48" s="282" t="s">
        <v>89</v>
      </c>
      <c r="B48" s="282">
        <v>0.01</v>
      </c>
      <c r="C48" s="286"/>
      <c r="D48" s="283"/>
      <c r="E48" s="284"/>
      <c r="F48" s="32"/>
      <c r="G48" s="285">
        <f>G41*B48</f>
        <v>3831.828</v>
      </c>
      <c r="H48" s="285">
        <v>0</v>
      </c>
      <c r="I48" s="182">
        <f t="shared" si="23"/>
        <v>3831.828</v>
      </c>
      <c r="J48" s="309">
        <v>0</v>
      </c>
      <c r="K48" s="311">
        <v>0</v>
      </c>
      <c r="L48" s="182">
        <f t="shared" si="24"/>
        <v>0</v>
      </c>
      <c r="M48" s="31" t="str">
        <f t="shared" si="25"/>
        <v>N/A</v>
      </c>
      <c r="N48" s="324">
        <f t="shared" ref="N48:N51" si="26">$N$41*B48</f>
        <v>4015.0684000000006</v>
      </c>
    </row>
    <row r="49" spans="1:14" x14ac:dyDescent="0.2">
      <c r="A49" s="282" t="s">
        <v>90</v>
      </c>
      <c r="B49" s="282">
        <v>5.0000000000000001E-3</v>
      </c>
      <c r="C49" s="286"/>
      <c r="D49" s="283"/>
      <c r="E49" s="284"/>
      <c r="F49" s="32"/>
      <c r="G49" s="285">
        <f>G41*B49</f>
        <v>1915.914</v>
      </c>
      <c r="H49" s="285">
        <v>0</v>
      </c>
      <c r="I49" s="182">
        <f t="shared" si="23"/>
        <v>1915.914</v>
      </c>
      <c r="J49" s="309">
        <v>0</v>
      </c>
      <c r="K49" s="311">
        <v>0</v>
      </c>
      <c r="L49" s="182">
        <f t="shared" si="24"/>
        <v>0</v>
      </c>
      <c r="M49" s="31" t="str">
        <f t="shared" si="25"/>
        <v>N/A</v>
      </c>
      <c r="N49" s="324">
        <f t="shared" si="26"/>
        <v>2007.5342000000003</v>
      </c>
    </row>
    <row r="50" spans="1:14" x14ac:dyDescent="0.2">
      <c r="A50" s="282" t="s">
        <v>91</v>
      </c>
      <c r="B50" s="282">
        <v>0.01</v>
      </c>
      <c r="C50" s="286"/>
      <c r="D50" s="283"/>
      <c r="E50" s="284"/>
      <c r="F50" s="32"/>
      <c r="G50" s="285">
        <f>G41*B50</f>
        <v>3831.828</v>
      </c>
      <c r="H50" s="285">
        <v>0</v>
      </c>
      <c r="I50" s="182">
        <f t="shared" si="23"/>
        <v>3831.828</v>
      </c>
      <c r="J50" s="309">
        <v>0</v>
      </c>
      <c r="K50" s="311">
        <v>0</v>
      </c>
      <c r="L50" s="182">
        <f t="shared" si="24"/>
        <v>0</v>
      </c>
      <c r="M50" s="31" t="str">
        <f t="shared" si="25"/>
        <v>N/A</v>
      </c>
      <c r="N50" s="324">
        <f t="shared" si="26"/>
        <v>4015.0684000000006</v>
      </c>
    </row>
    <row r="51" spans="1:14" x14ac:dyDescent="0.2">
      <c r="A51" s="287" t="s">
        <v>92</v>
      </c>
      <c r="B51" s="282" t="s">
        <v>93</v>
      </c>
      <c r="C51" s="286"/>
      <c r="D51" s="283"/>
      <c r="E51" s="284"/>
      <c r="F51" s="32"/>
      <c r="G51" s="285">
        <f>G41*B51</f>
        <v>13602.989399999999</v>
      </c>
      <c r="H51" s="285">
        <v>0</v>
      </c>
      <c r="I51" s="182">
        <f t="shared" si="23"/>
        <v>13602.989399999999</v>
      </c>
      <c r="J51" s="309">
        <v>0</v>
      </c>
      <c r="K51" s="311">
        <v>0</v>
      </c>
      <c r="L51" s="182">
        <f t="shared" si="24"/>
        <v>0</v>
      </c>
      <c r="M51" s="31" t="str">
        <f t="shared" si="25"/>
        <v>N/A</v>
      </c>
      <c r="N51" s="324">
        <f t="shared" si="26"/>
        <v>14253.492819999999</v>
      </c>
    </row>
    <row r="52" spans="1:14" x14ac:dyDescent="0.2">
      <c r="A52" s="288"/>
      <c r="B52" s="282"/>
      <c r="C52" s="286"/>
      <c r="D52" s="283"/>
      <c r="E52" s="284"/>
      <c r="F52" s="32"/>
      <c r="G52" s="285">
        <v>0</v>
      </c>
      <c r="H52" s="285">
        <v>0</v>
      </c>
      <c r="I52" s="182">
        <f t="shared" si="23"/>
        <v>0</v>
      </c>
      <c r="J52" s="309">
        <v>0</v>
      </c>
      <c r="K52" s="311">
        <v>0</v>
      </c>
      <c r="L52" s="182">
        <f t="shared" si="24"/>
        <v>0</v>
      </c>
      <c r="M52" s="31" t="str">
        <f t="shared" si="25"/>
        <v>N/A</v>
      </c>
      <c r="N52" s="324">
        <v>0</v>
      </c>
    </row>
    <row r="53" spans="1:14" x14ac:dyDescent="0.2">
      <c r="A53" s="289"/>
      <c r="B53" s="282"/>
      <c r="C53" s="290"/>
      <c r="D53" s="291"/>
      <c r="E53" s="292"/>
      <c r="F53" s="32"/>
      <c r="G53" s="285">
        <v>0</v>
      </c>
      <c r="H53" s="285">
        <v>0</v>
      </c>
      <c r="I53" s="182">
        <f t="shared" si="23"/>
        <v>0</v>
      </c>
      <c r="J53" s="309">
        <v>0</v>
      </c>
      <c r="K53" s="311">
        <v>0</v>
      </c>
      <c r="L53" s="182">
        <f t="shared" si="24"/>
        <v>0</v>
      </c>
      <c r="M53" s="31" t="str">
        <f t="shared" si="25"/>
        <v>N/A</v>
      </c>
      <c r="N53" s="324">
        <v>0</v>
      </c>
    </row>
    <row r="54" spans="1:14" ht="13.5" thickBot="1" x14ac:dyDescent="0.25">
      <c r="A54" s="51"/>
      <c r="B54" s="47"/>
      <c r="C54" s="171" t="s">
        <v>94</v>
      </c>
      <c r="D54" s="172"/>
      <c r="E54" s="172"/>
      <c r="F54" s="52"/>
      <c r="G54" s="183">
        <f t="shared" ref="G54:L54" si="27">SUM(G46:G53)</f>
        <v>118786.66799999998</v>
      </c>
      <c r="H54" s="183">
        <f t="shared" si="27"/>
        <v>20100.712969</v>
      </c>
      <c r="I54" s="183">
        <f t="shared" si="27"/>
        <v>98685.95503099999</v>
      </c>
      <c r="J54" s="183">
        <f t="shared" si="27"/>
        <v>10049.89</v>
      </c>
      <c r="K54" s="183">
        <f t="shared" si="27"/>
        <v>10050.796585</v>
      </c>
      <c r="L54" s="183">
        <f t="shared" si="27"/>
        <v>20100.686584999999</v>
      </c>
      <c r="M54" s="53">
        <f>IFERROR(L54/H54,"N/A")</f>
        <v>0.99999868740974307</v>
      </c>
      <c r="N54" s="184">
        <f>SUM(N46:N53)</f>
        <v>124467.1204</v>
      </c>
    </row>
    <row r="55" spans="1:14" ht="13.5" thickBot="1" x14ac:dyDescent="0.25">
      <c r="A55" s="30"/>
      <c r="B55" s="30"/>
      <c r="C55" s="30"/>
      <c r="D55" s="30"/>
      <c r="E55" s="30"/>
      <c r="F55" s="30"/>
    </row>
    <row r="56" spans="1:14" s="58" customFormat="1" x14ac:dyDescent="0.2">
      <c r="A56" s="12" t="s">
        <v>95</v>
      </c>
      <c r="B56" s="11"/>
      <c r="C56" s="11"/>
      <c r="D56" s="11"/>
      <c r="E56" s="11"/>
      <c r="F56" s="10"/>
      <c r="G56" s="9"/>
      <c r="H56" s="9"/>
      <c r="I56" s="9"/>
      <c r="J56" s="9"/>
      <c r="K56" s="9"/>
      <c r="L56" s="9"/>
      <c r="M56" s="8"/>
      <c r="N56" s="7"/>
    </row>
    <row r="57" spans="1:14" s="58" customFormat="1" ht="11.25" x14ac:dyDescent="0.2">
      <c r="A57" s="62" t="s">
        <v>96</v>
      </c>
      <c r="B57" s="63"/>
      <c r="C57" s="63"/>
      <c r="D57" s="63"/>
      <c r="E57" s="63"/>
      <c r="F57" s="56"/>
      <c r="G57" s="15"/>
      <c r="H57" s="15"/>
      <c r="I57" s="15"/>
      <c r="J57" s="15"/>
      <c r="K57" s="15"/>
      <c r="L57" s="15"/>
      <c r="M57" s="14"/>
      <c r="N57" s="13"/>
    </row>
    <row r="58" spans="1:14" ht="33.75" x14ac:dyDescent="0.2">
      <c r="A58" s="48" t="s">
        <v>86</v>
      </c>
      <c r="B58" s="49"/>
      <c r="C58" s="50"/>
      <c r="D58" s="50"/>
      <c r="E58" s="50"/>
      <c r="F58" s="50"/>
      <c r="G58" s="34" t="s">
        <v>37</v>
      </c>
      <c r="H58" s="34" t="s">
        <v>38</v>
      </c>
      <c r="I58" s="34" t="s">
        <v>39</v>
      </c>
      <c r="J58" s="34" t="s">
        <v>40</v>
      </c>
      <c r="K58" s="34" t="s">
        <v>41</v>
      </c>
      <c r="L58" s="34" t="s">
        <v>42</v>
      </c>
      <c r="M58" s="45" t="s">
        <v>43</v>
      </c>
      <c r="N58" s="46" t="s">
        <v>44</v>
      </c>
    </row>
    <row r="59" spans="1:14" x14ac:dyDescent="0.2">
      <c r="A59" s="293"/>
      <c r="B59" s="294"/>
      <c r="C59" s="295"/>
      <c r="D59" s="296"/>
      <c r="E59" s="297"/>
      <c r="F59" s="32"/>
      <c r="G59" s="277">
        <v>0</v>
      </c>
      <c r="H59" s="277">
        <v>0</v>
      </c>
      <c r="I59" s="178">
        <f>G59-H59</f>
        <v>0</v>
      </c>
      <c r="J59" s="309">
        <v>0</v>
      </c>
      <c r="K59" s="309">
        <v>0</v>
      </c>
      <c r="L59" s="178">
        <f>SUM(J59:K59)</f>
        <v>0</v>
      </c>
      <c r="M59" s="33" t="str">
        <f>IFERROR(L59/H59,"N/A")</f>
        <v>N/A</v>
      </c>
      <c r="N59" s="325">
        <v>0</v>
      </c>
    </row>
    <row r="60" spans="1:14" x14ac:dyDescent="0.2">
      <c r="A60" s="298"/>
      <c r="B60" s="294"/>
      <c r="C60" s="295"/>
      <c r="D60" s="296"/>
      <c r="E60" s="297"/>
      <c r="F60" s="32"/>
      <c r="G60" s="277">
        <v>0</v>
      </c>
      <c r="H60" s="277">
        <v>0</v>
      </c>
      <c r="I60" s="182">
        <f t="shared" ref="I60:I61" si="28">G60-H60</f>
        <v>0</v>
      </c>
      <c r="J60" s="309">
        <v>0</v>
      </c>
      <c r="K60" s="311">
        <v>0</v>
      </c>
      <c r="L60" s="182">
        <f t="shared" ref="L60:L61" si="29">SUM(J60:K60)</f>
        <v>0</v>
      </c>
      <c r="M60" s="31" t="str">
        <f t="shared" ref="M60:M61" si="30">IFERROR(L60/H60,"N/A")</f>
        <v>N/A</v>
      </c>
      <c r="N60" s="324">
        <v>0</v>
      </c>
    </row>
    <row r="61" spans="1:14" x14ac:dyDescent="0.2">
      <c r="A61" s="298"/>
      <c r="B61" s="294"/>
      <c r="C61" s="295"/>
      <c r="D61" s="296"/>
      <c r="E61" s="297"/>
      <c r="F61" s="32"/>
      <c r="G61" s="285">
        <v>0</v>
      </c>
      <c r="H61" s="285">
        <v>0</v>
      </c>
      <c r="I61" s="185">
        <f t="shared" si="28"/>
        <v>0</v>
      </c>
      <c r="J61" s="310">
        <v>0</v>
      </c>
      <c r="K61" s="310">
        <v>0</v>
      </c>
      <c r="L61" s="182">
        <f t="shared" si="29"/>
        <v>0</v>
      </c>
      <c r="M61" s="31" t="str">
        <f t="shared" si="30"/>
        <v>N/A</v>
      </c>
      <c r="N61" s="324">
        <v>0</v>
      </c>
    </row>
    <row r="62" spans="1:14" ht="13.5" thickBot="1" x14ac:dyDescent="0.25">
      <c r="A62" s="51"/>
      <c r="B62" s="47"/>
      <c r="C62" s="171" t="s">
        <v>97</v>
      </c>
      <c r="D62" s="172"/>
      <c r="E62" s="172"/>
      <c r="F62" s="52"/>
      <c r="G62" s="183">
        <f t="shared" ref="G62:L62" si="31">SUM(G59:G61)</f>
        <v>0</v>
      </c>
      <c r="H62" s="183">
        <f t="shared" si="31"/>
        <v>0</v>
      </c>
      <c r="I62" s="183">
        <f t="shared" si="31"/>
        <v>0</v>
      </c>
      <c r="J62" s="183">
        <f t="shared" si="31"/>
        <v>0</v>
      </c>
      <c r="K62" s="183">
        <f t="shared" si="31"/>
        <v>0</v>
      </c>
      <c r="L62" s="183">
        <f t="shared" si="31"/>
        <v>0</v>
      </c>
      <c r="M62" s="53" t="str">
        <f>IFERROR(L62/H62,"N/A")</f>
        <v>N/A</v>
      </c>
      <c r="N62" s="184">
        <f>SUM(N59:N61)</f>
        <v>0</v>
      </c>
    </row>
    <row r="63" spans="1:14" ht="13.5" thickBot="1" x14ac:dyDescent="0.25">
      <c r="A63" s="30"/>
      <c r="B63" s="30"/>
      <c r="C63" s="30"/>
      <c r="D63" s="30"/>
      <c r="E63" s="30"/>
      <c r="F63" s="30"/>
    </row>
    <row r="64" spans="1:14" s="58" customFormat="1" x14ac:dyDescent="0.2">
      <c r="A64" s="16" t="s">
        <v>98</v>
      </c>
      <c r="B64" s="11"/>
      <c r="C64" s="11"/>
      <c r="D64" s="11"/>
      <c r="E64" s="11"/>
      <c r="F64" s="10"/>
      <c r="G64" s="9"/>
      <c r="H64" s="9"/>
      <c r="I64" s="9"/>
      <c r="J64" s="9"/>
      <c r="K64" s="9"/>
      <c r="L64" s="9"/>
      <c r="M64" s="8"/>
      <c r="N64" s="7"/>
    </row>
    <row r="65" spans="1:14" x14ac:dyDescent="0.2">
      <c r="A65" s="62" t="s">
        <v>99</v>
      </c>
      <c r="B65" s="63"/>
      <c r="C65" s="63"/>
      <c r="D65" s="63"/>
      <c r="E65" s="63"/>
      <c r="F65" s="56"/>
      <c r="G65" s="15"/>
      <c r="H65" s="15"/>
      <c r="I65" s="15"/>
      <c r="J65" s="15"/>
      <c r="K65" s="15"/>
      <c r="L65" s="15"/>
      <c r="M65" s="14"/>
      <c r="N65" s="13"/>
    </row>
    <row r="66" spans="1:14" ht="33.75" x14ac:dyDescent="0.2">
      <c r="A66" s="48" t="s">
        <v>86</v>
      </c>
      <c r="B66" s="49"/>
      <c r="C66" s="50"/>
      <c r="D66" s="50"/>
      <c r="E66" s="50"/>
      <c r="F66" s="50"/>
      <c r="G66" s="34" t="s">
        <v>37</v>
      </c>
      <c r="H66" s="34" t="s">
        <v>38</v>
      </c>
      <c r="I66" s="34" t="s">
        <v>39</v>
      </c>
      <c r="J66" s="34" t="s">
        <v>40</v>
      </c>
      <c r="K66" s="34" t="s">
        <v>41</v>
      </c>
      <c r="L66" s="34" t="s">
        <v>42</v>
      </c>
      <c r="M66" s="45" t="s">
        <v>43</v>
      </c>
      <c r="N66" s="46" t="s">
        <v>44</v>
      </c>
    </row>
    <row r="67" spans="1:14" x14ac:dyDescent="0.2">
      <c r="A67" s="293" t="s">
        <v>100</v>
      </c>
      <c r="B67" s="294"/>
      <c r="C67" s="295"/>
      <c r="D67" s="296"/>
      <c r="E67" s="297"/>
      <c r="F67" s="32"/>
      <c r="G67" s="285">
        <v>113</v>
      </c>
      <c r="H67" s="277">
        <v>0</v>
      </c>
      <c r="I67" s="178">
        <f t="shared" ref="I67:I75" si="32">G67-H67</f>
        <v>113</v>
      </c>
      <c r="J67" s="309">
        <v>0</v>
      </c>
      <c r="K67" s="309">
        <v>0</v>
      </c>
      <c r="L67" s="178">
        <f>SUM(J67:K67)</f>
        <v>0</v>
      </c>
      <c r="M67" s="33" t="str">
        <f>IFERROR(L67/H67,"N/A")</f>
        <v>N/A</v>
      </c>
      <c r="N67" s="325">
        <f>-118.9+76.84+565.55+465.17-190.2+1768.5</f>
        <v>2566.96</v>
      </c>
    </row>
    <row r="68" spans="1:14" x14ac:dyDescent="0.2">
      <c r="A68" s="299" t="s">
        <v>101</v>
      </c>
      <c r="B68" s="294"/>
      <c r="C68" s="295"/>
      <c r="D68" s="296"/>
      <c r="E68" s="297"/>
      <c r="F68" s="32"/>
      <c r="G68" s="285">
        <v>1255</v>
      </c>
      <c r="H68" s="277">
        <v>0</v>
      </c>
      <c r="I68" s="182">
        <f t="shared" si="32"/>
        <v>1255</v>
      </c>
      <c r="J68" s="309">
        <v>0</v>
      </c>
      <c r="K68" s="311">
        <v>0</v>
      </c>
      <c r="L68" s="182">
        <f>SUM(J68:K68)</f>
        <v>0</v>
      </c>
      <c r="M68" s="31" t="str">
        <f>IFERROR(L68/H68,"N/A")</f>
        <v>N/A</v>
      </c>
      <c r="N68" s="324">
        <f>2033.3-1199.99+300</f>
        <v>1133.31</v>
      </c>
    </row>
    <row r="69" spans="1:14" x14ac:dyDescent="0.2">
      <c r="A69" s="299" t="s">
        <v>102</v>
      </c>
      <c r="B69" s="294"/>
      <c r="C69" s="295"/>
      <c r="D69" s="296"/>
      <c r="E69" s="297"/>
      <c r="F69" s="32"/>
      <c r="G69" s="285">
        <v>91</v>
      </c>
      <c r="H69" s="277">
        <v>0</v>
      </c>
      <c r="I69" s="178">
        <f t="shared" si="32"/>
        <v>91</v>
      </c>
      <c r="J69" s="309">
        <v>0</v>
      </c>
      <c r="K69" s="309">
        <v>0</v>
      </c>
      <c r="L69" s="178">
        <f t="shared" ref="L69:L75" si="33">SUM(J69:K69)</f>
        <v>0</v>
      </c>
      <c r="M69" s="33" t="str">
        <f t="shared" ref="M69:M75" si="34">IFERROR(L69/H69,"N/A")</f>
        <v>N/A</v>
      </c>
      <c r="N69" s="325">
        <v>216.31</v>
      </c>
    </row>
    <row r="70" spans="1:14" x14ac:dyDescent="0.2">
      <c r="A70" s="299" t="s">
        <v>103</v>
      </c>
      <c r="B70" s="294"/>
      <c r="C70" s="295"/>
      <c r="D70" s="296"/>
      <c r="E70" s="297"/>
      <c r="F70" s="32"/>
      <c r="G70" s="285">
        <v>203</v>
      </c>
      <c r="H70" s="277">
        <v>0</v>
      </c>
      <c r="I70" s="178">
        <f t="shared" si="32"/>
        <v>203</v>
      </c>
      <c r="J70" s="309">
        <v>0</v>
      </c>
      <c r="K70" s="309">
        <v>0</v>
      </c>
      <c r="L70" s="178">
        <f t="shared" si="33"/>
        <v>0</v>
      </c>
      <c r="M70" s="33" t="str">
        <f t="shared" si="34"/>
        <v>N/A</v>
      </c>
      <c r="N70" s="325">
        <v>461.45</v>
      </c>
    </row>
    <row r="71" spans="1:14" x14ac:dyDescent="0.2">
      <c r="A71" s="299" t="s">
        <v>104</v>
      </c>
      <c r="B71" s="294"/>
      <c r="C71" s="295"/>
      <c r="D71" s="296"/>
      <c r="E71" s="297"/>
      <c r="F71" s="32"/>
      <c r="G71" s="285">
        <v>171</v>
      </c>
      <c r="H71" s="277">
        <v>0</v>
      </c>
      <c r="I71" s="178">
        <f t="shared" si="32"/>
        <v>171</v>
      </c>
      <c r="J71" s="309">
        <v>0</v>
      </c>
      <c r="K71" s="309">
        <v>0</v>
      </c>
      <c r="L71" s="178">
        <f t="shared" si="33"/>
        <v>0</v>
      </c>
      <c r="M71" s="33" t="str">
        <f t="shared" si="34"/>
        <v>N/A</v>
      </c>
      <c r="N71" s="325">
        <f>11496.93+328</f>
        <v>11824.93</v>
      </c>
    </row>
    <row r="72" spans="1:14" x14ac:dyDescent="0.2">
      <c r="A72" s="299" t="s">
        <v>105</v>
      </c>
      <c r="B72" s="294"/>
      <c r="C72" s="295"/>
      <c r="D72" s="296"/>
      <c r="E72" s="297"/>
      <c r="F72" s="32"/>
      <c r="G72" s="285">
        <v>82</v>
      </c>
      <c r="H72" s="285">
        <v>0</v>
      </c>
      <c r="I72" s="185">
        <f t="shared" si="32"/>
        <v>82</v>
      </c>
      <c r="J72" s="310">
        <v>0</v>
      </c>
      <c r="K72" s="310">
        <v>0</v>
      </c>
      <c r="L72" s="182">
        <f t="shared" si="33"/>
        <v>0</v>
      </c>
      <c r="M72" s="31" t="str">
        <f t="shared" si="34"/>
        <v>N/A</v>
      </c>
      <c r="N72" s="324">
        <v>1787.76</v>
      </c>
    </row>
    <row r="73" spans="1:14" x14ac:dyDescent="0.2">
      <c r="A73" s="299" t="s">
        <v>106</v>
      </c>
      <c r="B73" s="294"/>
      <c r="C73" s="295"/>
      <c r="D73" s="296"/>
      <c r="E73" s="297"/>
      <c r="F73" s="32"/>
      <c r="G73" s="285">
        <v>595</v>
      </c>
      <c r="H73" s="285">
        <v>0</v>
      </c>
      <c r="I73" s="185">
        <f t="shared" si="32"/>
        <v>595</v>
      </c>
      <c r="J73" s="310">
        <v>0</v>
      </c>
      <c r="K73" s="310">
        <v>0</v>
      </c>
      <c r="L73" s="182">
        <f t="shared" si="33"/>
        <v>0</v>
      </c>
      <c r="M73" s="31" t="str">
        <f t="shared" si="34"/>
        <v>N/A</v>
      </c>
      <c r="N73" s="324">
        <v>1550</v>
      </c>
    </row>
    <row r="74" spans="1:14" x14ac:dyDescent="0.2">
      <c r="A74" s="298"/>
      <c r="B74" s="294"/>
      <c r="C74" s="295"/>
      <c r="D74" s="296"/>
      <c r="E74" s="297"/>
      <c r="F74" s="32"/>
      <c r="G74" s="285">
        <v>0</v>
      </c>
      <c r="H74" s="285">
        <v>0</v>
      </c>
      <c r="I74" s="185">
        <f t="shared" si="32"/>
        <v>0</v>
      </c>
      <c r="J74" s="310">
        <v>0</v>
      </c>
      <c r="K74" s="310">
        <v>0</v>
      </c>
      <c r="L74" s="182">
        <f t="shared" si="33"/>
        <v>0</v>
      </c>
      <c r="M74" s="31" t="str">
        <f t="shared" si="34"/>
        <v>N/A</v>
      </c>
      <c r="N74" s="324">
        <v>0</v>
      </c>
    </row>
    <row r="75" spans="1:14" x14ac:dyDescent="0.2">
      <c r="A75" s="298"/>
      <c r="B75" s="294"/>
      <c r="C75" s="295"/>
      <c r="D75" s="296"/>
      <c r="E75" s="297"/>
      <c r="F75" s="32"/>
      <c r="G75" s="285">
        <v>0</v>
      </c>
      <c r="H75" s="285">
        <v>0</v>
      </c>
      <c r="I75" s="185">
        <f t="shared" si="32"/>
        <v>0</v>
      </c>
      <c r="J75" s="310">
        <v>0</v>
      </c>
      <c r="K75" s="310">
        <v>0</v>
      </c>
      <c r="L75" s="182">
        <f t="shared" si="33"/>
        <v>0</v>
      </c>
      <c r="M75" s="31" t="str">
        <f t="shared" si="34"/>
        <v>N/A</v>
      </c>
      <c r="N75" s="324">
        <v>0</v>
      </c>
    </row>
    <row r="76" spans="1:14" ht="13.5" thickBot="1" x14ac:dyDescent="0.25">
      <c r="A76" s="51"/>
      <c r="B76" s="47"/>
      <c r="C76" s="171" t="s">
        <v>107</v>
      </c>
      <c r="D76" s="172"/>
      <c r="E76" s="172"/>
      <c r="F76" s="52"/>
      <c r="G76" s="183">
        <f t="shared" ref="G76:L76" si="35">SUM(G67:G75)</f>
        <v>2510</v>
      </c>
      <c r="H76" s="183">
        <f t="shared" si="35"/>
        <v>0</v>
      </c>
      <c r="I76" s="183">
        <f t="shared" si="35"/>
        <v>2510</v>
      </c>
      <c r="J76" s="183">
        <f t="shared" si="35"/>
        <v>0</v>
      </c>
      <c r="K76" s="183">
        <f t="shared" si="35"/>
        <v>0</v>
      </c>
      <c r="L76" s="183">
        <f t="shared" si="35"/>
        <v>0</v>
      </c>
      <c r="M76" s="53" t="str">
        <f>IFERROR(L76/H76,"N/A")</f>
        <v>N/A</v>
      </c>
      <c r="N76" s="184">
        <f>SUM(N67:N75)</f>
        <v>19540.719999999998</v>
      </c>
    </row>
    <row r="77" spans="1:14" ht="13.5" thickBot="1" x14ac:dyDescent="0.25">
      <c r="A77" s="30"/>
      <c r="B77" s="30"/>
      <c r="C77" s="30"/>
      <c r="D77" s="30"/>
      <c r="E77" s="30"/>
      <c r="F77" s="30"/>
    </row>
    <row r="78" spans="1:14" s="58" customFormat="1" x14ac:dyDescent="0.2">
      <c r="A78" s="12" t="s">
        <v>108</v>
      </c>
      <c r="B78" s="11"/>
      <c r="C78" s="11"/>
      <c r="D78" s="11"/>
      <c r="E78" s="11"/>
      <c r="F78" s="10"/>
      <c r="G78" s="9"/>
      <c r="H78" s="9"/>
      <c r="I78" s="9"/>
      <c r="J78" s="9"/>
      <c r="K78" s="9"/>
      <c r="L78" s="9"/>
      <c r="M78" s="8"/>
      <c r="N78" s="7"/>
    </row>
    <row r="79" spans="1:14" x14ac:dyDescent="0.2">
      <c r="A79" s="62" t="s">
        <v>109</v>
      </c>
      <c r="B79" s="63"/>
      <c r="C79" s="63"/>
      <c r="D79" s="63"/>
      <c r="E79" s="63"/>
      <c r="F79" s="56"/>
      <c r="G79" s="15"/>
      <c r="H79" s="15"/>
      <c r="I79" s="15"/>
      <c r="J79" s="15"/>
      <c r="K79" s="15"/>
      <c r="L79" s="15"/>
      <c r="M79" s="14"/>
      <c r="N79" s="13"/>
    </row>
    <row r="80" spans="1:14" ht="33.75" x14ac:dyDescent="0.2">
      <c r="A80" s="48" t="s">
        <v>86</v>
      </c>
      <c r="B80" s="49"/>
      <c r="C80" s="50"/>
      <c r="D80" s="50"/>
      <c r="E80" s="50"/>
      <c r="F80" s="50"/>
      <c r="G80" s="34" t="s">
        <v>37</v>
      </c>
      <c r="H80" s="34" t="s">
        <v>38</v>
      </c>
      <c r="I80" s="34" t="s">
        <v>39</v>
      </c>
      <c r="J80" s="34" t="s">
        <v>40</v>
      </c>
      <c r="K80" s="34" t="s">
        <v>41</v>
      </c>
      <c r="L80" s="34" t="s">
        <v>42</v>
      </c>
      <c r="M80" s="45" t="s">
        <v>43</v>
      </c>
      <c r="N80" s="46" t="s">
        <v>44</v>
      </c>
    </row>
    <row r="81" spans="1:14" x14ac:dyDescent="0.2">
      <c r="A81" s="293"/>
      <c r="B81" s="294"/>
      <c r="C81" s="295"/>
      <c r="D81" s="296"/>
      <c r="E81" s="297"/>
      <c r="F81" s="32"/>
      <c r="G81" s="277">
        <v>0</v>
      </c>
      <c r="H81" s="277">
        <v>0</v>
      </c>
      <c r="I81" s="178">
        <f t="shared" ref="I81:I83" si="36">G81-H81</f>
        <v>0</v>
      </c>
      <c r="J81" s="309">
        <v>0</v>
      </c>
      <c r="K81" s="309">
        <v>0</v>
      </c>
      <c r="L81" s="178">
        <f>SUM(J81:K81)</f>
        <v>0</v>
      </c>
      <c r="M81" s="33" t="str">
        <f>IFERROR(L81/H81,"N/A")</f>
        <v>N/A</v>
      </c>
      <c r="N81" s="325">
        <v>0</v>
      </c>
    </row>
    <row r="82" spans="1:14" x14ac:dyDescent="0.2">
      <c r="A82" s="298"/>
      <c r="B82" s="294"/>
      <c r="C82" s="295"/>
      <c r="D82" s="296"/>
      <c r="E82" s="297"/>
      <c r="F82" s="32"/>
      <c r="G82" s="277">
        <v>0</v>
      </c>
      <c r="H82" s="277">
        <v>0</v>
      </c>
      <c r="I82" s="178">
        <f t="shared" si="36"/>
        <v>0</v>
      </c>
      <c r="J82" s="309">
        <v>0</v>
      </c>
      <c r="K82" s="309">
        <v>0</v>
      </c>
      <c r="L82" s="178">
        <f t="shared" ref="L82:L83" si="37">SUM(J82:K82)</f>
        <v>0</v>
      </c>
      <c r="M82" s="33" t="str">
        <f t="shared" ref="M82:M83" si="38">IFERROR(L82/H82,"N/A")</f>
        <v>N/A</v>
      </c>
      <c r="N82" s="325">
        <v>0</v>
      </c>
    </row>
    <row r="83" spans="1:14" x14ac:dyDescent="0.2">
      <c r="A83" s="298"/>
      <c r="B83" s="294"/>
      <c r="C83" s="295"/>
      <c r="D83" s="296"/>
      <c r="E83" s="297"/>
      <c r="F83" s="32"/>
      <c r="G83" s="277">
        <v>0</v>
      </c>
      <c r="H83" s="277">
        <v>0</v>
      </c>
      <c r="I83" s="178">
        <f t="shared" si="36"/>
        <v>0</v>
      </c>
      <c r="J83" s="309">
        <v>0</v>
      </c>
      <c r="K83" s="309">
        <v>0</v>
      </c>
      <c r="L83" s="178">
        <f t="shared" si="37"/>
        <v>0</v>
      </c>
      <c r="M83" s="33" t="str">
        <f t="shared" si="38"/>
        <v>N/A</v>
      </c>
      <c r="N83" s="325">
        <v>0</v>
      </c>
    </row>
    <row r="84" spans="1:14" ht="13.5" thickBot="1" x14ac:dyDescent="0.25">
      <c r="A84" s="51"/>
      <c r="B84" s="47"/>
      <c r="C84" s="171" t="s">
        <v>110</v>
      </c>
      <c r="D84" s="172"/>
      <c r="E84" s="172"/>
      <c r="F84" s="52"/>
      <c r="G84" s="183">
        <f t="shared" ref="G84:L84" si="39">SUM(G81:G83)</f>
        <v>0</v>
      </c>
      <c r="H84" s="183">
        <f t="shared" si="39"/>
        <v>0</v>
      </c>
      <c r="I84" s="183">
        <f t="shared" si="39"/>
        <v>0</v>
      </c>
      <c r="J84" s="183">
        <f t="shared" si="39"/>
        <v>0</v>
      </c>
      <c r="K84" s="183">
        <f t="shared" si="39"/>
        <v>0</v>
      </c>
      <c r="L84" s="183">
        <f t="shared" si="39"/>
        <v>0</v>
      </c>
      <c r="M84" s="53" t="str">
        <f>IFERROR(L84/H84,"N/A")</f>
        <v>N/A</v>
      </c>
      <c r="N84" s="184">
        <f>SUM(N81:N83)</f>
        <v>0</v>
      </c>
    </row>
    <row r="85" spans="1:14" ht="13.5" thickBot="1" x14ac:dyDescent="0.25">
      <c r="A85" s="30"/>
      <c r="B85" s="30"/>
      <c r="C85" s="30"/>
      <c r="D85" s="30"/>
      <c r="E85" s="30"/>
      <c r="F85" s="30"/>
    </row>
    <row r="86" spans="1:14" s="58" customFormat="1" x14ac:dyDescent="0.2">
      <c r="A86" s="12" t="s">
        <v>111</v>
      </c>
      <c r="B86" s="11"/>
      <c r="C86" s="11"/>
      <c r="D86" s="11"/>
      <c r="E86" s="11"/>
      <c r="F86" s="10"/>
      <c r="G86" s="9"/>
      <c r="H86" s="9"/>
      <c r="I86" s="9"/>
      <c r="J86" s="9"/>
      <c r="K86" s="9"/>
      <c r="L86" s="9"/>
      <c r="M86" s="8"/>
      <c r="N86" s="7"/>
    </row>
    <row r="87" spans="1:14" x14ac:dyDescent="0.2">
      <c r="A87" s="62" t="s">
        <v>112</v>
      </c>
      <c r="B87" s="63"/>
      <c r="C87" s="63"/>
      <c r="D87" s="63"/>
      <c r="E87" s="63"/>
      <c r="F87" s="56"/>
      <c r="G87" s="15"/>
      <c r="H87" s="15"/>
      <c r="I87" s="15"/>
      <c r="J87" s="15"/>
      <c r="K87" s="15"/>
      <c r="L87" s="15"/>
      <c r="M87" s="14"/>
      <c r="N87" s="13"/>
    </row>
    <row r="88" spans="1:14" ht="33.75" x14ac:dyDescent="0.2">
      <c r="A88" s="48" t="s">
        <v>86</v>
      </c>
      <c r="B88" s="49"/>
      <c r="C88" s="50"/>
      <c r="D88" s="50"/>
      <c r="E88" s="50"/>
      <c r="F88" s="50"/>
      <c r="G88" s="34" t="s">
        <v>37</v>
      </c>
      <c r="H88" s="34" t="s">
        <v>38</v>
      </c>
      <c r="I88" s="34" t="s">
        <v>39</v>
      </c>
      <c r="J88" s="34" t="s">
        <v>40</v>
      </c>
      <c r="K88" s="34" t="s">
        <v>41</v>
      </c>
      <c r="L88" s="34" t="s">
        <v>42</v>
      </c>
      <c r="M88" s="45" t="s">
        <v>43</v>
      </c>
      <c r="N88" s="46" t="s">
        <v>44</v>
      </c>
    </row>
    <row r="89" spans="1:14" x14ac:dyDescent="0.2">
      <c r="A89" s="293"/>
      <c r="B89" s="294"/>
      <c r="C89" s="295"/>
      <c r="D89" s="296"/>
      <c r="E89" s="297"/>
      <c r="F89" s="32"/>
      <c r="G89" s="277">
        <v>0</v>
      </c>
      <c r="H89" s="277">
        <v>0</v>
      </c>
      <c r="I89" s="178">
        <f t="shared" ref="I89:I91" si="40">G89-H89</f>
        <v>0</v>
      </c>
      <c r="J89" s="309">
        <v>0</v>
      </c>
      <c r="K89" s="309">
        <v>0</v>
      </c>
      <c r="L89" s="178">
        <f>SUM(J89:K89)</f>
        <v>0</v>
      </c>
      <c r="M89" s="33" t="str">
        <f>IFERROR(L89/H89,"N/A")</f>
        <v>N/A</v>
      </c>
      <c r="N89" s="325">
        <v>0</v>
      </c>
    </row>
    <row r="90" spans="1:14" x14ac:dyDescent="0.2">
      <c r="A90" s="298"/>
      <c r="B90" s="294"/>
      <c r="C90" s="295"/>
      <c r="D90" s="296"/>
      <c r="E90" s="297"/>
      <c r="F90" s="32"/>
      <c r="G90" s="277">
        <v>0</v>
      </c>
      <c r="H90" s="277">
        <v>0</v>
      </c>
      <c r="I90" s="178">
        <f t="shared" si="40"/>
        <v>0</v>
      </c>
      <c r="J90" s="309">
        <v>0</v>
      </c>
      <c r="K90" s="309">
        <v>0</v>
      </c>
      <c r="L90" s="178">
        <f t="shared" ref="L90:L91" si="41">SUM(J90:K90)</f>
        <v>0</v>
      </c>
      <c r="M90" s="33" t="str">
        <f t="shared" ref="M90:M91" si="42">IFERROR(L90/H90,"N/A")</f>
        <v>N/A</v>
      </c>
      <c r="N90" s="325">
        <v>0</v>
      </c>
    </row>
    <row r="91" spans="1:14" x14ac:dyDescent="0.2">
      <c r="A91" s="298"/>
      <c r="B91" s="294"/>
      <c r="C91" s="295"/>
      <c r="D91" s="296"/>
      <c r="E91" s="297"/>
      <c r="F91" s="32"/>
      <c r="G91" s="277">
        <v>0</v>
      </c>
      <c r="H91" s="277">
        <v>0</v>
      </c>
      <c r="I91" s="178">
        <f t="shared" si="40"/>
        <v>0</v>
      </c>
      <c r="J91" s="309">
        <v>0</v>
      </c>
      <c r="K91" s="309">
        <v>0</v>
      </c>
      <c r="L91" s="178">
        <f t="shared" si="41"/>
        <v>0</v>
      </c>
      <c r="M91" s="33" t="str">
        <f t="shared" si="42"/>
        <v>N/A</v>
      </c>
      <c r="N91" s="325">
        <v>0</v>
      </c>
    </row>
    <row r="92" spans="1:14" ht="13.5" thickBot="1" x14ac:dyDescent="0.25">
      <c r="A92" s="51"/>
      <c r="B92" s="47"/>
      <c r="C92" s="171" t="s">
        <v>113</v>
      </c>
      <c r="D92" s="172"/>
      <c r="E92" s="172"/>
      <c r="F92" s="52"/>
      <c r="G92" s="183">
        <f t="shared" ref="G92:L92" si="43">SUM(G89:G91)</f>
        <v>0</v>
      </c>
      <c r="H92" s="183">
        <f t="shared" si="43"/>
        <v>0</v>
      </c>
      <c r="I92" s="183">
        <f t="shared" si="43"/>
        <v>0</v>
      </c>
      <c r="J92" s="183">
        <f t="shared" si="43"/>
        <v>0</v>
      </c>
      <c r="K92" s="183">
        <f t="shared" si="43"/>
        <v>0</v>
      </c>
      <c r="L92" s="183">
        <f t="shared" si="43"/>
        <v>0</v>
      </c>
      <c r="M92" s="53" t="str">
        <f>IFERROR(L92/H92,"N/A")</f>
        <v>N/A</v>
      </c>
      <c r="N92" s="184">
        <f>SUM(N89:N91)</f>
        <v>0</v>
      </c>
    </row>
    <row r="93" spans="1:14" ht="13.5" thickBot="1" x14ac:dyDescent="0.25">
      <c r="A93" s="30"/>
      <c r="B93" s="30"/>
      <c r="C93" s="30"/>
      <c r="D93" s="30"/>
      <c r="E93" s="30"/>
      <c r="F93" s="30"/>
    </row>
    <row r="94" spans="1:14" s="58" customFormat="1" x14ac:dyDescent="0.2">
      <c r="A94" s="12" t="s">
        <v>114</v>
      </c>
      <c r="B94" s="11"/>
      <c r="C94" s="11"/>
      <c r="D94" s="11"/>
      <c r="E94" s="11"/>
      <c r="F94" s="10"/>
      <c r="G94" s="9"/>
      <c r="H94" s="9"/>
      <c r="I94" s="9"/>
      <c r="J94" s="9"/>
      <c r="K94" s="9"/>
      <c r="L94" s="9"/>
      <c r="M94" s="8"/>
      <c r="N94" s="7"/>
    </row>
    <row r="95" spans="1:14" s="58" customFormat="1" ht="11.25" x14ac:dyDescent="0.2">
      <c r="A95" s="62" t="s">
        <v>115</v>
      </c>
      <c r="B95" s="55"/>
      <c r="C95" s="55"/>
      <c r="D95" s="55"/>
      <c r="E95" s="55"/>
      <c r="F95" s="56"/>
      <c r="G95" s="56"/>
      <c r="H95" s="56"/>
      <c r="I95" s="56"/>
      <c r="J95" s="56"/>
      <c r="K95" s="56"/>
      <c r="L95" s="56"/>
      <c r="M95" s="140"/>
      <c r="N95" s="57"/>
    </row>
    <row r="96" spans="1:14" s="58" customFormat="1" ht="11.25" x14ac:dyDescent="0.2">
      <c r="A96" s="67" t="s">
        <v>116</v>
      </c>
      <c r="B96" s="55"/>
      <c r="C96" s="55"/>
      <c r="D96" s="55"/>
      <c r="E96" s="55"/>
      <c r="F96" s="56"/>
      <c r="G96" s="56"/>
      <c r="H96" s="56"/>
      <c r="I96" s="56"/>
      <c r="J96" s="56"/>
      <c r="K96" s="56"/>
      <c r="L96" s="56"/>
      <c r="M96" s="140"/>
      <c r="N96" s="57"/>
    </row>
    <row r="97" spans="1:14" s="58" customFormat="1" ht="11.25" x14ac:dyDescent="0.2">
      <c r="A97" s="67" t="s">
        <v>117</v>
      </c>
      <c r="B97" s="55"/>
      <c r="C97" s="55"/>
      <c r="D97" s="55"/>
      <c r="E97" s="55"/>
      <c r="F97" s="55"/>
      <c r="G97" s="59"/>
      <c r="H97" s="59"/>
      <c r="I97" s="59"/>
      <c r="J97" s="59"/>
      <c r="K97" s="59"/>
      <c r="L97" s="59"/>
      <c r="M97" s="60"/>
      <c r="N97" s="61"/>
    </row>
    <row r="98" spans="1:14" ht="34.5" thickBot="1" x14ac:dyDescent="0.25">
      <c r="A98" s="48" t="s">
        <v>86</v>
      </c>
      <c r="B98" s="49"/>
      <c r="C98" s="50"/>
      <c r="D98" s="50"/>
      <c r="E98" s="50"/>
      <c r="F98" s="50"/>
      <c r="G98" s="34" t="s">
        <v>37</v>
      </c>
      <c r="H98" s="34" t="s">
        <v>38</v>
      </c>
      <c r="I98" s="34" t="s">
        <v>39</v>
      </c>
      <c r="J98" s="34" t="s">
        <v>40</v>
      </c>
      <c r="K98" s="34" t="s">
        <v>41</v>
      </c>
      <c r="L98" s="34" t="s">
        <v>42</v>
      </c>
      <c r="M98" s="45" t="s">
        <v>43</v>
      </c>
      <c r="N98" s="46" t="s">
        <v>44</v>
      </c>
    </row>
    <row r="99" spans="1:14" ht="13.5" thickBot="1" x14ac:dyDescent="0.25">
      <c r="A99" s="300" t="s">
        <v>118</v>
      </c>
      <c r="B99" s="301" t="s">
        <v>119</v>
      </c>
      <c r="C99" s="302"/>
      <c r="D99" s="32"/>
      <c r="E99" s="95" t="s">
        <v>120</v>
      </c>
      <c r="F99" s="96">
        <f>IFERROR(H101/H103,"N/A")</f>
        <v>0</v>
      </c>
      <c r="G99" s="285">
        <v>50621</v>
      </c>
      <c r="H99" s="285">
        <v>0</v>
      </c>
      <c r="I99" s="185">
        <f>G99-H99</f>
        <v>50621</v>
      </c>
      <c r="J99" s="310">
        <v>0</v>
      </c>
      <c r="K99" s="310">
        <v>0</v>
      </c>
      <c r="L99" s="178">
        <f>SUM(J99:K99)</f>
        <v>0</v>
      </c>
      <c r="M99" s="33" t="str">
        <f>IFERROR(L99/H99,"N/A")</f>
        <v>N/A</v>
      </c>
      <c r="N99" s="325">
        <v>0</v>
      </c>
    </row>
    <row r="100" spans="1:14" ht="13.5" thickBot="1" x14ac:dyDescent="0.25">
      <c r="A100" s="303"/>
      <c r="B100" s="301"/>
      <c r="C100" s="304"/>
      <c r="D100" s="32"/>
      <c r="E100" s="95" t="s">
        <v>120</v>
      </c>
      <c r="F100" s="96" t="str">
        <f>IFERROR(H102/H104,"N/A")</f>
        <v>N/A</v>
      </c>
      <c r="G100" s="285">
        <v>0</v>
      </c>
      <c r="H100" s="285">
        <v>0</v>
      </c>
      <c r="I100" s="185">
        <f t="shared" ref="I100" si="44">G100-H100</f>
        <v>0</v>
      </c>
      <c r="J100" s="310">
        <v>0</v>
      </c>
      <c r="K100" s="310">
        <v>0</v>
      </c>
      <c r="L100" s="185">
        <f>SUM(J100:K100)</f>
        <v>0</v>
      </c>
      <c r="M100" s="43" t="str">
        <f>IFERROR(L100/H100,"N/A")</f>
        <v>N/A</v>
      </c>
      <c r="N100" s="326">
        <v>0</v>
      </c>
    </row>
    <row r="101" spans="1:14" ht="13.5" thickBot="1" x14ac:dyDescent="0.25">
      <c r="A101" s="51"/>
      <c r="B101" s="47"/>
      <c r="C101" s="171" t="s">
        <v>121</v>
      </c>
      <c r="D101" s="172"/>
      <c r="E101" s="172"/>
      <c r="F101" s="173"/>
      <c r="G101" s="186">
        <f>SUM(G99:G100)</f>
        <v>50621</v>
      </c>
      <c r="H101" s="186">
        <f>SUM(H99:H100)</f>
        <v>0</v>
      </c>
      <c r="I101" s="186">
        <f>SUM(I99:I100)</f>
        <v>50621</v>
      </c>
      <c r="J101" s="186">
        <f t="shared" ref="J101:L101" si="45">SUM(J99:J100)</f>
        <v>0</v>
      </c>
      <c r="K101" s="186">
        <f t="shared" si="45"/>
        <v>0</v>
      </c>
      <c r="L101" s="186">
        <f t="shared" si="45"/>
        <v>0</v>
      </c>
      <c r="M101" s="174" t="str">
        <f>IFERROR(L101/H101,"N/A")</f>
        <v>N/A</v>
      </c>
      <c r="N101" s="187">
        <f>SUM(N99:N100)</f>
        <v>0</v>
      </c>
    </row>
    <row r="102" spans="1:14" ht="13.5" thickBot="1" x14ac:dyDescent="0.25">
      <c r="A102" s="30"/>
      <c r="B102" s="30"/>
      <c r="C102" s="30"/>
      <c r="D102" s="30"/>
      <c r="E102" s="30"/>
      <c r="F102" s="30"/>
    </row>
    <row r="103" spans="1:14" ht="15.75" thickBot="1" x14ac:dyDescent="0.3">
      <c r="A103" s="6"/>
      <c r="B103" s="4"/>
      <c r="C103" s="5" t="s">
        <v>122</v>
      </c>
      <c r="D103" s="4"/>
      <c r="E103" s="4"/>
      <c r="F103" s="3"/>
      <c r="G103" s="188">
        <f t="shared" ref="G103:L103" si="46">SUM(G101,G92,G84,G76,G62,G54,G41)</f>
        <v>555100.46799999999</v>
      </c>
      <c r="H103" s="188">
        <f t="shared" si="46"/>
        <v>282842.05896900001</v>
      </c>
      <c r="I103" s="188">
        <f t="shared" si="46"/>
        <v>272258.40903099999</v>
      </c>
      <c r="J103" s="188">
        <f t="shared" si="46"/>
        <v>141421</v>
      </c>
      <c r="K103" s="188">
        <f t="shared" si="46"/>
        <v>141420.68658500002</v>
      </c>
      <c r="L103" s="188">
        <f t="shared" si="46"/>
        <v>282841.68658500002</v>
      </c>
      <c r="M103" s="2">
        <f>IFERROR(L103/H103,"N/A")</f>
        <v>0.99999868342070009</v>
      </c>
      <c r="N103" s="189">
        <f>SUM(N101,N92,N84,N76,N62,N54,N41)</f>
        <v>545514.68039999995</v>
      </c>
    </row>
    <row r="104" spans="1:14" ht="15" customHeight="1" thickBot="1" x14ac:dyDescent="0.25">
      <c r="A104" s="30"/>
      <c r="B104" s="30"/>
      <c r="C104" s="30"/>
      <c r="D104" s="30"/>
      <c r="E104" s="30"/>
      <c r="F104" s="30"/>
    </row>
    <row r="105" spans="1:14" s="208" customFormat="1" ht="15" x14ac:dyDescent="0.25">
      <c r="A105" s="206" t="s">
        <v>24</v>
      </c>
      <c r="B105" s="11"/>
      <c r="C105" s="11"/>
      <c r="D105" s="11"/>
      <c r="E105" s="11"/>
      <c r="F105" s="11"/>
      <c r="G105" s="11"/>
      <c r="H105" s="11"/>
      <c r="I105" s="11"/>
      <c r="J105" s="11"/>
      <c r="K105" s="11"/>
      <c r="L105" s="11"/>
      <c r="M105" s="11"/>
      <c r="N105" s="207"/>
    </row>
    <row r="106" spans="1:14" s="208" customFormat="1" ht="14.25" x14ac:dyDescent="0.2">
      <c r="A106" s="209" t="s">
        <v>123</v>
      </c>
      <c r="B106" s="210"/>
      <c r="C106" s="210"/>
      <c r="D106" s="210"/>
      <c r="E106" s="210"/>
      <c r="F106" s="210"/>
      <c r="G106" s="210"/>
      <c r="H106" s="210"/>
      <c r="I106" s="210"/>
      <c r="J106" s="210"/>
      <c r="K106" s="210"/>
      <c r="L106" s="210"/>
      <c r="M106" s="210"/>
      <c r="N106" s="211"/>
    </row>
    <row r="107" spans="1:14" s="208" customFormat="1" ht="15" x14ac:dyDescent="0.25">
      <c r="A107" s="209" t="s">
        <v>124</v>
      </c>
      <c r="B107" s="210"/>
      <c r="C107" s="210"/>
      <c r="D107" s="210"/>
      <c r="E107" s="210"/>
      <c r="F107" s="210"/>
      <c r="G107" s="210"/>
      <c r="H107" s="210"/>
      <c r="I107" s="210"/>
      <c r="J107" s="210"/>
      <c r="K107" s="210"/>
      <c r="L107" s="210"/>
      <c r="M107" s="210"/>
      <c r="N107" s="211"/>
    </row>
    <row r="108" spans="1:14" s="208" customFormat="1" ht="15" x14ac:dyDescent="0.25">
      <c r="A108" s="209" t="s">
        <v>125</v>
      </c>
      <c r="B108" s="210"/>
      <c r="C108" s="210"/>
      <c r="D108" s="210"/>
      <c r="E108" s="210"/>
      <c r="F108" s="210"/>
      <c r="G108" s="210"/>
      <c r="H108" s="210"/>
      <c r="I108" s="210"/>
      <c r="J108" s="210"/>
      <c r="K108" s="210"/>
      <c r="L108" s="210"/>
      <c r="M108" s="210"/>
      <c r="N108" s="211"/>
    </row>
    <row r="109" spans="1:14" s="208" customFormat="1" ht="45" customHeight="1" x14ac:dyDescent="0.2">
      <c r="A109" s="212" t="s">
        <v>126</v>
      </c>
      <c r="B109" s="213"/>
      <c r="C109" s="213" t="s">
        <v>86</v>
      </c>
      <c r="I109" s="214" t="s">
        <v>127</v>
      </c>
      <c r="J109" s="214" t="s">
        <v>128</v>
      </c>
      <c r="K109" s="214" t="s">
        <v>129</v>
      </c>
      <c r="L109" s="214" t="s">
        <v>130</v>
      </c>
      <c r="M109" s="162" t="s">
        <v>131</v>
      </c>
      <c r="N109" s="215" t="s">
        <v>132</v>
      </c>
    </row>
    <row r="110" spans="1:14" s="208" customFormat="1" ht="15" customHeight="1" x14ac:dyDescent="0.2">
      <c r="A110" s="216" t="s">
        <v>133</v>
      </c>
      <c r="B110" s="217"/>
      <c r="C110" s="217"/>
      <c r="I110" s="218"/>
      <c r="J110" s="218"/>
      <c r="K110" s="218"/>
      <c r="L110" s="218"/>
      <c r="M110" s="25"/>
      <c r="N110" s="153"/>
    </row>
    <row r="111" spans="1:14" s="208" customFormat="1" ht="15" customHeight="1" x14ac:dyDescent="0.2">
      <c r="A111" s="305"/>
      <c r="B111" s="306"/>
      <c r="C111" s="306"/>
      <c r="I111" s="277">
        <v>0</v>
      </c>
      <c r="J111" s="311">
        <v>0</v>
      </c>
      <c r="K111" s="311">
        <v>0</v>
      </c>
      <c r="L111" s="192">
        <f t="shared" ref="L111:L112" si="47">SUM(J111:K111)</f>
        <v>0</v>
      </c>
      <c r="M111" s="25"/>
      <c r="N111" s="153"/>
    </row>
    <row r="112" spans="1:14" s="208" customFormat="1" ht="15" customHeight="1" x14ac:dyDescent="0.2">
      <c r="A112" s="305"/>
      <c r="B112" s="306"/>
      <c r="C112" s="306"/>
      <c r="I112" s="277">
        <v>0</v>
      </c>
      <c r="J112" s="311">
        <v>0</v>
      </c>
      <c r="K112" s="311">
        <v>0</v>
      </c>
      <c r="L112" s="192">
        <f t="shared" si="47"/>
        <v>0</v>
      </c>
      <c r="M112" s="25"/>
      <c r="N112" s="153"/>
    </row>
    <row r="113" spans="1:14" s="208" customFormat="1" x14ac:dyDescent="0.2">
      <c r="A113" s="219" t="s">
        <v>134</v>
      </c>
      <c r="B113" s="217"/>
      <c r="I113" s="218"/>
      <c r="J113" s="218"/>
      <c r="K113" s="218"/>
      <c r="L113" s="218"/>
      <c r="M113" s="25"/>
      <c r="N113" s="153"/>
    </row>
    <row r="114" spans="1:14" s="208" customFormat="1" ht="15" customHeight="1" x14ac:dyDescent="0.2">
      <c r="A114" s="305"/>
      <c r="B114" s="306"/>
      <c r="I114" s="277">
        <v>0</v>
      </c>
      <c r="J114" s="311">
        <v>0</v>
      </c>
      <c r="K114" s="311">
        <v>0</v>
      </c>
      <c r="L114" s="192">
        <f t="shared" ref="L114:L124" si="48">SUM(J114:K114)</f>
        <v>0</v>
      </c>
      <c r="M114" s="25"/>
      <c r="N114" s="153"/>
    </row>
    <row r="115" spans="1:14" s="208" customFormat="1" ht="15" customHeight="1" x14ac:dyDescent="0.2">
      <c r="A115" s="305"/>
      <c r="B115" s="306"/>
      <c r="I115" s="277">
        <v>0</v>
      </c>
      <c r="J115" s="311">
        <v>0</v>
      </c>
      <c r="K115" s="311">
        <v>0</v>
      </c>
      <c r="L115" s="192">
        <f t="shared" si="48"/>
        <v>0</v>
      </c>
      <c r="M115" s="25"/>
      <c r="N115" s="153"/>
    </row>
    <row r="116" spans="1:14" s="208" customFormat="1" x14ac:dyDescent="0.2">
      <c r="A116" s="219" t="s">
        <v>135</v>
      </c>
      <c r="B116" s="217"/>
      <c r="I116" s="218"/>
      <c r="J116" s="218"/>
      <c r="K116" s="218"/>
      <c r="L116" s="218"/>
      <c r="M116" s="25"/>
      <c r="N116" s="153"/>
    </row>
    <row r="117" spans="1:14" s="208" customFormat="1" ht="15" customHeight="1" x14ac:dyDescent="0.2">
      <c r="A117" s="305"/>
      <c r="B117" s="306"/>
      <c r="I117" s="277">
        <v>0</v>
      </c>
      <c r="J117" s="311">
        <v>0</v>
      </c>
      <c r="K117" s="311">
        <v>0</v>
      </c>
      <c r="L117" s="192">
        <f t="shared" ref="L117:L118" si="49">SUM(J117:K117)</f>
        <v>0</v>
      </c>
      <c r="M117" s="25"/>
      <c r="N117" s="153"/>
    </row>
    <row r="118" spans="1:14" s="208" customFormat="1" ht="15" customHeight="1" x14ac:dyDescent="0.2">
      <c r="A118" s="305"/>
      <c r="B118" s="306"/>
      <c r="I118" s="277">
        <v>0</v>
      </c>
      <c r="J118" s="311">
        <v>0</v>
      </c>
      <c r="K118" s="311">
        <v>0</v>
      </c>
      <c r="L118" s="192">
        <f t="shared" si="49"/>
        <v>0</v>
      </c>
      <c r="M118" s="25"/>
      <c r="N118" s="153"/>
    </row>
    <row r="119" spans="1:14" s="208" customFormat="1" x14ac:dyDescent="0.2">
      <c r="A119" s="219" t="s">
        <v>136</v>
      </c>
      <c r="B119" s="217"/>
      <c r="I119" s="218"/>
      <c r="J119" s="218"/>
      <c r="K119" s="218"/>
      <c r="L119" s="218"/>
      <c r="M119" s="70"/>
      <c r="N119" s="154"/>
    </row>
    <row r="120" spans="1:14" s="208" customFormat="1" ht="15" customHeight="1" x14ac:dyDescent="0.2">
      <c r="A120" s="305"/>
      <c r="B120" s="306"/>
      <c r="I120" s="277">
        <v>0</v>
      </c>
      <c r="J120" s="311">
        <v>0</v>
      </c>
      <c r="K120" s="311">
        <v>0</v>
      </c>
      <c r="L120" s="192">
        <f t="shared" ref="L120:L121" si="50">SUM(J120:K120)</f>
        <v>0</v>
      </c>
      <c r="M120" s="25"/>
      <c r="N120" s="153"/>
    </row>
    <row r="121" spans="1:14" s="208" customFormat="1" ht="15" customHeight="1" x14ac:dyDescent="0.2">
      <c r="A121" s="305"/>
      <c r="B121" s="306"/>
      <c r="I121" s="277">
        <v>0</v>
      </c>
      <c r="J121" s="311">
        <v>0</v>
      </c>
      <c r="K121" s="311">
        <v>0</v>
      </c>
      <c r="L121" s="192">
        <f t="shared" si="50"/>
        <v>0</v>
      </c>
      <c r="M121" s="25"/>
      <c r="N121" s="153"/>
    </row>
    <row r="122" spans="1:14" s="208" customFormat="1" x14ac:dyDescent="0.2">
      <c r="A122" s="219" t="s">
        <v>137</v>
      </c>
      <c r="B122" s="217"/>
      <c r="I122" s="218"/>
      <c r="J122" s="218"/>
      <c r="K122" s="218"/>
      <c r="L122" s="218"/>
      <c r="M122" s="70"/>
      <c r="N122" s="154"/>
    </row>
    <row r="123" spans="1:14" s="208" customFormat="1" ht="15" customHeight="1" x14ac:dyDescent="0.2">
      <c r="A123" s="305"/>
      <c r="B123" s="306"/>
      <c r="I123" s="277">
        <v>0</v>
      </c>
      <c r="J123" s="311">
        <v>0</v>
      </c>
      <c r="K123" s="311">
        <v>0</v>
      </c>
      <c r="L123" s="192">
        <f t="shared" si="48"/>
        <v>0</v>
      </c>
      <c r="M123" s="25"/>
      <c r="N123" s="153"/>
    </row>
    <row r="124" spans="1:14" s="208" customFormat="1" ht="15" customHeight="1" x14ac:dyDescent="0.2">
      <c r="A124" s="305"/>
      <c r="B124" s="306"/>
      <c r="I124" s="277">
        <v>0</v>
      </c>
      <c r="J124" s="311">
        <v>0</v>
      </c>
      <c r="K124" s="311">
        <v>0</v>
      </c>
      <c r="L124" s="192">
        <f t="shared" si="48"/>
        <v>0</v>
      </c>
      <c r="M124" s="25"/>
      <c r="N124" s="153"/>
    </row>
    <row r="125" spans="1:14" s="208" customFormat="1" x14ac:dyDescent="0.2">
      <c r="A125" s="216" t="s">
        <v>138</v>
      </c>
      <c r="B125" s="217"/>
      <c r="I125" s="218"/>
      <c r="J125" s="218"/>
      <c r="K125" s="218"/>
      <c r="L125" s="218"/>
      <c r="M125" s="70"/>
      <c r="N125" s="154"/>
    </row>
    <row r="126" spans="1:14" s="208" customFormat="1" ht="15" customHeight="1" x14ac:dyDescent="0.2">
      <c r="A126" s="305" t="s">
        <v>139</v>
      </c>
      <c r="B126" s="306"/>
      <c r="I126" s="277">
        <v>273985</v>
      </c>
      <c r="J126" s="311">
        <v>130271.13</v>
      </c>
      <c r="K126" s="311">
        <f>N103-L103-J126</f>
        <v>132401.86381499993</v>
      </c>
      <c r="L126" s="192">
        <f t="shared" ref="L126:L127" si="51">SUM(J126:K126)</f>
        <v>262672.99381499994</v>
      </c>
      <c r="M126" s="25"/>
      <c r="N126" s="153"/>
    </row>
    <row r="127" spans="1:14" s="208" customFormat="1" ht="15" customHeight="1" x14ac:dyDescent="0.2">
      <c r="A127" s="305"/>
      <c r="B127" s="306"/>
      <c r="I127" s="277">
        <v>0</v>
      </c>
      <c r="J127" s="311">
        <v>0</v>
      </c>
      <c r="K127" s="311">
        <v>0</v>
      </c>
      <c r="L127" s="192">
        <f t="shared" si="51"/>
        <v>0</v>
      </c>
      <c r="M127" s="25"/>
      <c r="N127" s="153"/>
    </row>
    <row r="128" spans="1:14" s="208" customFormat="1" ht="15.75" thickBot="1" x14ac:dyDescent="0.3">
      <c r="A128" s="220" t="s">
        <v>140</v>
      </c>
      <c r="B128" s="204"/>
      <c r="C128" s="204"/>
      <c r="D128" s="221" t="s">
        <v>141</v>
      </c>
      <c r="E128" s="222"/>
      <c r="F128" s="222"/>
      <c r="G128" s="222"/>
      <c r="H128" s="222"/>
      <c r="I128" s="193">
        <f>SUM(I110:I127)</f>
        <v>273985</v>
      </c>
      <c r="J128" s="193">
        <f t="shared" ref="J128:L128" si="52">SUM(J110:J127)</f>
        <v>130271.13</v>
      </c>
      <c r="K128" s="193">
        <f t="shared" si="52"/>
        <v>132401.86381499993</v>
      </c>
      <c r="L128" s="193">
        <f t="shared" si="52"/>
        <v>262672.99381499994</v>
      </c>
      <c r="M128" s="194">
        <f>N13-L13</f>
        <v>262672.99381499994</v>
      </c>
      <c r="N128" s="195">
        <f>IFERROR(L128-M128,"N/A")</f>
        <v>0</v>
      </c>
    </row>
    <row r="129" spans="1:14" s="208" customFormat="1" ht="13.5" thickBot="1" x14ac:dyDescent="0.25">
      <c r="A129" s="223"/>
      <c r="F129" s="79"/>
      <c r="M129" s="21"/>
      <c r="N129" s="20"/>
    </row>
    <row r="130" spans="1:14" s="208" customFormat="1" x14ac:dyDescent="0.2">
      <c r="A130" s="224" t="s">
        <v>142</v>
      </c>
      <c r="B130" s="225"/>
      <c r="C130" s="225"/>
      <c r="D130" s="225"/>
      <c r="E130" s="225"/>
      <c r="F130" s="226"/>
      <c r="G130" s="226"/>
      <c r="H130" s="226"/>
      <c r="I130" s="226"/>
      <c r="J130" s="226"/>
      <c r="K130" s="226"/>
      <c r="L130" s="226"/>
      <c r="M130" s="29"/>
      <c r="N130" s="28"/>
    </row>
    <row r="131" spans="1:14" s="208" customFormat="1" ht="13.5" thickBot="1" x14ac:dyDescent="0.25">
      <c r="A131" s="227" t="s">
        <v>143</v>
      </c>
      <c r="B131" s="228"/>
      <c r="C131" s="228"/>
      <c r="D131" s="228"/>
      <c r="E131" s="228"/>
      <c r="F131" s="229"/>
      <c r="G131" s="229"/>
      <c r="H131" s="229"/>
      <c r="I131" s="229"/>
      <c r="J131" s="229"/>
      <c r="K131" s="229"/>
      <c r="L131" s="229"/>
      <c r="M131" s="24"/>
      <c r="N131" s="23"/>
    </row>
  </sheetData>
  <sheetProtection algorithmName="SHA-512" hashValue="UkR3lJpx8JTwfJkBVkBucwwJrJpXzh30whgdSlki8gbcH8GLmJZVYtpY/3uMdmb21pOvqSBrbC0SMh2flE46yg==" saltValue="oHQ69P8CYM51XlU6uOM9iQ==" spinCount="100000" sheet="1" objects="1" scenarios="1"/>
  <conditionalFormatting sqref="B119 B122 B125">
    <cfRule type="containsText" dxfId="22" priority="29" operator="containsText" text="VARIANCE">
      <formula>NOT(ISERROR(SEARCH("VARIANCE",B119)))</formula>
    </cfRule>
  </conditionalFormatting>
  <conditionalFormatting sqref="B110 B113 B116">
    <cfRule type="containsText" dxfId="21" priority="28" operator="containsText" text="VARIANCE">
      <formula>NOT(ISERROR(SEARCH("VARIANCE",B110)))</formula>
    </cfRule>
  </conditionalFormatting>
  <conditionalFormatting sqref="B111">
    <cfRule type="containsText" dxfId="20" priority="27" operator="containsText" text="VARIANCE">
      <formula>NOT(ISERROR(SEARCH("VARIANCE",B111)))</formula>
    </cfRule>
  </conditionalFormatting>
  <conditionalFormatting sqref="B112">
    <cfRule type="containsText" dxfId="19" priority="26" operator="containsText" text="VARIANCE">
      <formula>NOT(ISERROR(SEARCH("VARIANCE",B112)))</formula>
    </cfRule>
  </conditionalFormatting>
  <conditionalFormatting sqref="B114">
    <cfRule type="containsText" dxfId="18" priority="25" operator="containsText" text="VARIANCE">
      <formula>NOT(ISERROR(SEARCH("VARIANCE",B114)))</formula>
    </cfRule>
  </conditionalFormatting>
  <conditionalFormatting sqref="B115">
    <cfRule type="containsText" dxfId="17" priority="24" operator="containsText" text="VARIANCE">
      <formula>NOT(ISERROR(SEARCH("VARIANCE",B115)))</formula>
    </cfRule>
  </conditionalFormatting>
  <conditionalFormatting sqref="B117">
    <cfRule type="containsText" dxfId="16" priority="23" operator="containsText" text="VARIANCE">
      <formula>NOT(ISERROR(SEARCH("VARIANCE",B117)))</formula>
    </cfRule>
  </conditionalFormatting>
  <conditionalFormatting sqref="B118">
    <cfRule type="containsText" dxfId="15" priority="22" operator="containsText" text="VARIANCE">
      <formula>NOT(ISERROR(SEARCH("VARIANCE",B118)))</formula>
    </cfRule>
  </conditionalFormatting>
  <conditionalFormatting sqref="B120">
    <cfRule type="containsText" dxfId="14" priority="21" operator="containsText" text="VARIANCE">
      <formula>NOT(ISERROR(SEARCH("VARIANCE",B120)))</formula>
    </cfRule>
  </conditionalFormatting>
  <conditionalFormatting sqref="B121">
    <cfRule type="containsText" dxfId="13" priority="20" operator="containsText" text="VARIANCE">
      <formula>NOT(ISERROR(SEARCH("VARIANCE",B121)))</formula>
    </cfRule>
  </conditionalFormatting>
  <conditionalFormatting sqref="B123">
    <cfRule type="containsText" dxfId="12" priority="19" operator="containsText" text="VARIANCE">
      <formula>NOT(ISERROR(SEARCH("VARIANCE",B123)))</formula>
    </cfRule>
  </conditionalFormatting>
  <conditionalFormatting sqref="B124">
    <cfRule type="containsText" dxfId="11" priority="18" operator="containsText" text="VARIANCE">
      <formula>NOT(ISERROR(SEARCH("VARIANCE",B124)))</formula>
    </cfRule>
  </conditionalFormatting>
  <conditionalFormatting sqref="B126">
    <cfRule type="containsText" dxfId="10" priority="17" operator="containsText" text="VARIANCE">
      <formula>NOT(ISERROR(SEARCH("VARIANCE",B126)))</formula>
    </cfRule>
  </conditionalFormatting>
  <conditionalFormatting sqref="B127">
    <cfRule type="containsText" dxfId="9" priority="16" operator="containsText" text="VARIANCE">
      <formula>NOT(ISERROR(SEARCH("VARIANCE",B127)))</formula>
    </cfRule>
  </conditionalFormatting>
  <conditionalFormatting sqref="I110:L110">
    <cfRule type="containsText" dxfId="8" priority="15" operator="containsText" text="VARIANCE">
      <formula>NOT(ISERROR(SEARCH("VARIANCE",I110)))</formula>
    </cfRule>
  </conditionalFormatting>
  <conditionalFormatting sqref="I113:L113">
    <cfRule type="containsText" dxfId="7" priority="14" operator="containsText" text="VARIANCE">
      <formula>NOT(ISERROR(SEARCH("VARIANCE",I113)))</formula>
    </cfRule>
  </conditionalFormatting>
  <conditionalFormatting sqref="I116:L116">
    <cfRule type="containsText" dxfId="6" priority="13" operator="containsText" text="VARIANCE">
      <formula>NOT(ISERROR(SEARCH("VARIANCE",I116)))</formula>
    </cfRule>
  </conditionalFormatting>
  <conditionalFormatting sqref="I119:L119">
    <cfRule type="containsText" dxfId="5" priority="12" operator="containsText" text="VARIANCE">
      <formula>NOT(ISERROR(SEARCH("VARIANCE",I119)))</formula>
    </cfRule>
  </conditionalFormatting>
  <conditionalFormatting sqref="I122:L122">
    <cfRule type="containsText" dxfId="4" priority="11" operator="containsText" text="VARIANCE">
      <formula>NOT(ISERROR(SEARCH("VARIANCE",I122)))</formula>
    </cfRule>
  </conditionalFormatting>
  <conditionalFormatting sqref="I125:L125">
    <cfRule type="containsText" dxfId="3" priority="10" operator="containsText" text="VARIANCE">
      <formula>NOT(ISERROR(SEARCH("VARIANCE",I125)))</formula>
    </cfRule>
  </conditionalFormatting>
  <conditionalFormatting sqref="C110">
    <cfRule type="containsText" dxfId="2" priority="3" operator="containsText" text="VARIANCE">
      <formula>NOT(ISERROR(SEARCH("VARIANCE",C110)))</formula>
    </cfRule>
  </conditionalFormatting>
  <conditionalFormatting sqref="C111">
    <cfRule type="containsText" dxfId="1" priority="2" operator="containsText" text="VARIANCE">
      <formula>NOT(ISERROR(SEARCH("VARIANCE",C111)))</formula>
    </cfRule>
  </conditionalFormatting>
  <conditionalFormatting sqref="C112">
    <cfRule type="containsText" dxfId="0" priority="1" operator="containsText" text="VARIANCE">
      <formula>NOT(ISERROR(SEARCH("VARIANCE",C112)))</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9:F100"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11:C112"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40" xr:uid="{00000000-0002-0000-0600-000002000000}">
      <formula1>0.9</formula1>
      <formula2>1.1</formula2>
    </dataValidation>
    <dataValidation type="list" allowBlank="1" showInputMessage="1" showErrorMessage="1" sqref="C27:C40" xr:uid="{74035CC8-3374-44B2-8A35-54AB49E229AE}">
      <formula1>$C$19:$C$21</formula1>
    </dataValidation>
  </dataValidations>
  <pageMargins left="0.7" right="0.7" top="0.75" bottom="0.75" header="0.3" footer="0.3"/>
  <pageSetup scale="50" orientation="landscape" r:id="rId1"/>
  <headerFooter>
    <oddFooter>&amp;LCity of Santa Monica
Exhibit C2 – Program Budget
&amp;C&amp;P&amp;RFiscal Year 2021-22
Human Services Grants Program</oddFooter>
  </headerFooter>
  <rowBreaks count="1" manualBreakCount="1">
    <brk id="76" max="13" man="1"/>
  </rowBreaks>
  <ignoredErrors>
    <ignoredError sqref="M6 M10:M11 M7:M9 M12:M13" formula="1"/>
    <ignoredError sqref="L111:L12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144</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145</v>
      </c>
      <c r="B5" s="150" t="s">
        <v>146</v>
      </c>
      <c r="C5" s="150" t="s">
        <v>147</v>
      </c>
      <c r="D5" s="150" t="s">
        <v>148</v>
      </c>
      <c r="E5" s="94"/>
      <c r="G5" s="94"/>
      <c r="H5" s="94"/>
    </row>
    <row r="6" spans="1:8" s="91" customFormat="1" ht="14.25" x14ac:dyDescent="0.2">
      <c r="A6" s="151" t="s">
        <v>149</v>
      </c>
      <c r="B6" s="307">
        <v>85</v>
      </c>
      <c r="C6" s="312">
        <v>44</v>
      </c>
      <c r="D6" s="312">
        <v>86</v>
      </c>
      <c r="E6" s="94"/>
      <c r="G6" s="94"/>
      <c r="H6" s="94"/>
    </row>
    <row r="7" spans="1:8" s="91" customFormat="1" ht="14.25" x14ac:dyDescent="0.2">
      <c r="A7" s="151" t="s">
        <v>150</v>
      </c>
      <c r="B7" s="307">
        <v>85</v>
      </c>
      <c r="C7" s="312">
        <v>44</v>
      </c>
      <c r="D7" s="312">
        <v>86</v>
      </c>
      <c r="E7" s="94"/>
      <c r="G7" s="94"/>
      <c r="H7" s="94"/>
    </row>
    <row r="8" spans="1:8" s="91" customFormat="1" ht="28.5" x14ac:dyDescent="0.2">
      <c r="A8" s="151" t="s">
        <v>151</v>
      </c>
      <c r="B8" s="307">
        <v>40</v>
      </c>
      <c r="C8" s="312" t="s">
        <v>152</v>
      </c>
      <c r="D8" s="312" t="s">
        <v>153</v>
      </c>
      <c r="E8" s="94"/>
      <c r="G8" s="94"/>
      <c r="H8" s="94"/>
    </row>
    <row r="9" spans="1:8" s="91" customFormat="1" ht="14.25" x14ac:dyDescent="0.2">
      <c r="A9" s="151" t="s">
        <v>154</v>
      </c>
      <c r="B9" s="307">
        <v>2</v>
      </c>
      <c r="C9" s="312">
        <v>0</v>
      </c>
      <c r="D9" s="312">
        <v>0</v>
      </c>
      <c r="E9" s="94"/>
      <c r="G9" s="94"/>
      <c r="H9" s="94"/>
    </row>
    <row r="10" spans="1:8" s="91" customFormat="1" ht="14.25" x14ac:dyDescent="0.2">
      <c r="A10" s="151" t="s">
        <v>155</v>
      </c>
      <c r="B10" s="307">
        <v>13</v>
      </c>
      <c r="C10" s="312">
        <v>5</v>
      </c>
      <c r="D10" s="312">
        <v>8</v>
      </c>
      <c r="E10" s="94"/>
      <c r="G10" s="94"/>
      <c r="H10" s="94"/>
    </row>
    <row r="11" spans="1:8" s="91" customFormat="1" ht="14.25" x14ac:dyDescent="0.2">
      <c r="A11" s="151" t="s">
        <v>156</v>
      </c>
      <c r="B11" s="307">
        <v>0</v>
      </c>
      <c r="C11" s="312">
        <v>0</v>
      </c>
      <c r="D11" s="312">
        <v>0</v>
      </c>
      <c r="E11" s="94"/>
      <c r="G11" s="94"/>
      <c r="H11" s="94"/>
    </row>
    <row r="12" spans="1:8" s="91" customFormat="1" ht="14.25" x14ac:dyDescent="0.2">
      <c r="A12" s="151" t="s">
        <v>157</v>
      </c>
      <c r="B12" s="307">
        <v>24</v>
      </c>
      <c r="C12" s="312">
        <v>24</v>
      </c>
      <c r="D12" s="312">
        <v>46</v>
      </c>
      <c r="E12" s="94"/>
      <c r="G12" s="94"/>
      <c r="H12" s="94"/>
    </row>
    <row r="13" spans="1:8" s="91" customFormat="1" ht="14.25" x14ac:dyDescent="0.2">
      <c r="A13" s="151" t="s">
        <v>158</v>
      </c>
      <c r="B13" s="307">
        <v>15</v>
      </c>
      <c r="C13" s="312">
        <v>13</v>
      </c>
      <c r="D13" s="312">
        <v>15</v>
      </c>
      <c r="E13" s="94"/>
      <c r="G13" s="94"/>
      <c r="H13" s="94"/>
    </row>
    <row r="14" spans="1:8" s="91" customFormat="1" ht="14.25" x14ac:dyDescent="0.2">
      <c r="A14" s="92"/>
      <c r="B14" s="93"/>
      <c r="C14" s="93"/>
      <c r="D14" s="93"/>
      <c r="E14" s="94"/>
      <c r="G14" s="94"/>
      <c r="H14" s="94"/>
    </row>
    <row r="15" spans="1:8" s="91" customFormat="1" ht="30" x14ac:dyDescent="0.2">
      <c r="A15" s="156" t="s">
        <v>159</v>
      </c>
      <c r="B15" s="150" t="s">
        <v>146</v>
      </c>
      <c r="C15" s="150" t="s">
        <v>147</v>
      </c>
      <c r="D15" s="150" t="s">
        <v>148</v>
      </c>
      <c r="E15" s="94"/>
      <c r="G15" s="94"/>
      <c r="H15" s="94"/>
    </row>
    <row r="16" spans="1:8" s="91" customFormat="1" ht="14.25" x14ac:dyDescent="0.2">
      <c r="A16" s="151" t="s">
        <v>160</v>
      </c>
      <c r="B16" s="307">
        <v>2</v>
      </c>
      <c r="C16" s="312"/>
      <c r="D16" s="312"/>
      <c r="E16" s="94"/>
      <c r="G16" s="94"/>
      <c r="H16" s="94"/>
    </row>
    <row r="17" spans="1:8" s="91" customFormat="1" ht="14.25" x14ac:dyDescent="0.2">
      <c r="A17" s="151" t="s">
        <v>161</v>
      </c>
      <c r="B17" s="307">
        <v>6</v>
      </c>
      <c r="C17" s="312">
        <v>1</v>
      </c>
      <c r="D17" s="312">
        <v>11</v>
      </c>
      <c r="E17" s="94"/>
      <c r="G17" s="94"/>
      <c r="H17" s="94"/>
    </row>
    <row r="18" spans="1:8" s="91" customFormat="1" ht="14.25" x14ac:dyDescent="0.2">
      <c r="A18" s="151" t="s">
        <v>162</v>
      </c>
      <c r="B18" s="307">
        <v>59</v>
      </c>
      <c r="C18" s="312">
        <v>32</v>
      </c>
      <c r="D18" s="312">
        <v>48</v>
      </c>
      <c r="E18" s="94"/>
      <c r="G18" s="94"/>
      <c r="H18" s="94"/>
    </row>
    <row r="19" spans="1:8" s="91" customFormat="1" ht="14.25" x14ac:dyDescent="0.2">
      <c r="A19" s="151" t="s">
        <v>163</v>
      </c>
      <c r="B19" s="307">
        <v>8</v>
      </c>
      <c r="C19" s="312">
        <v>7</v>
      </c>
      <c r="D19" s="312">
        <v>18</v>
      </c>
      <c r="E19" s="94"/>
      <c r="G19" s="94"/>
      <c r="H19" s="94"/>
    </row>
    <row r="20" spans="1:8" s="91" customFormat="1" ht="14.25" x14ac:dyDescent="0.2">
      <c r="A20" s="151" t="s">
        <v>164</v>
      </c>
      <c r="B20" s="307">
        <v>10</v>
      </c>
      <c r="C20" s="312">
        <v>3</v>
      </c>
      <c r="D20" s="312">
        <v>9</v>
      </c>
      <c r="E20" s="94"/>
      <c r="G20" s="94"/>
      <c r="H20" s="94"/>
    </row>
    <row r="21" spans="1:8" s="91" customFormat="1" ht="14.25" x14ac:dyDescent="0.2">
      <c r="A21" s="151" t="s">
        <v>165</v>
      </c>
      <c r="B21" s="307">
        <v>0</v>
      </c>
      <c r="C21" s="312">
        <v>1</v>
      </c>
      <c r="D21" s="312">
        <v>0</v>
      </c>
      <c r="E21" s="94"/>
      <c r="G21" s="94"/>
      <c r="H21" s="94"/>
    </row>
    <row r="22" spans="1:8" s="91" customFormat="1" ht="14.25" x14ac:dyDescent="0.2">
      <c r="A22" s="151" t="s">
        <v>166</v>
      </c>
      <c r="B22" s="307">
        <v>0</v>
      </c>
      <c r="C22" s="312"/>
      <c r="D22" s="312"/>
      <c r="E22" s="94"/>
      <c r="G22" s="94"/>
      <c r="H22" s="94"/>
    </row>
    <row r="23" spans="1:8" s="91" customFormat="1" ht="15" x14ac:dyDescent="0.2">
      <c r="A23" s="152" t="s">
        <v>167</v>
      </c>
      <c r="B23" s="142">
        <f>SUM(B16:B22)</f>
        <v>85</v>
      </c>
      <c r="C23" s="142">
        <f t="shared" ref="C23:D23" si="0">SUM(C16:C22)</f>
        <v>44</v>
      </c>
      <c r="D23" s="142">
        <f t="shared" si="0"/>
        <v>86</v>
      </c>
      <c r="E23" s="94"/>
      <c r="G23" s="94"/>
      <c r="H23" s="94"/>
    </row>
    <row r="24" spans="1:8" s="91" customFormat="1" ht="14.25" x14ac:dyDescent="0.2">
      <c r="B24" s="93"/>
      <c r="C24" s="93"/>
      <c r="D24" s="93"/>
      <c r="E24" s="94"/>
      <c r="G24" s="94"/>
      <c r="H24" s="94"/>
    </row>
    <row r="25" spans="1:8" s="91" customFormat="1" ht="30" x14ac:dyDescent="0.2">
      <c r="A25" s="156" t="s">
        <v>168</v>
      </c>
      <c r="B25" s="150" t="s">
        <v>146</v>
      </c>
      <c r="C25" s="150" t="s">
        <v>147</v>
      </c>
      <c r="D25" s="150" t="s">
        <v>148</v>
      </c>
      <c r="E25" s="94"/>
      <c r="G25" s="94"/>
      <c r="H25" s="94"/>
    </row>
    <row r="26" spans="1:8" s="91" customFormat="1" ht="14.25" x14ac:dyDescent="0.2">
      <c r="A26" s="151">
        <v>90401</v>
      </c>
      <c r="B26" s="307">
        <v>4</v>
      </c>
      <c r="C26" s="312">
        <v>1</v>
      </c>
      <c r="D26" s="312">
        <v>3</v>
      </c>
      <c r="E26" s="94"/>
      <c r="G26" s="94"/>
      <c r="H26" s="94"/>
    </row>
    <row r="27" spans="1:8" s="91" customFormat="1" ht="14.25" x14ac:dyDescent="0.2">
      <c r="A27" s="151">
        <v>90402</v>
      </c>
      <c r="B27" s="307"/>
      <c r="C27" s="312">
        <v>1</v>
      </c>
      <c r="D27" s="312">
        <v>3</v>
      </c>
      <c r="E27" s="94"/>
      <c r="G27" s="94"/>
      <c r="H27" s="94"/>
    </row>
    <row r="28" spans="1:8" s="91" customFormat="1" ht="14.25" x14ac:dyDescent="0.2">
      <c r="A28" s="151">
        <v>90403</v>
      </c>
      <c r="B28" s="307">
        <v>9</v>
      </c>
      <c r="C28" s="312">
        <v>0</v>
      </c>
      <c r="D28" s="312">
        <v>4</v>
      </c>
      <c r="E28" s="94"/>
      <c r="G28" s="94"/>
      <c r="H28" s="94"/>
    </row>
    <row r="29" spans="1:8" s="91" customFormat="1" ht="14.25" x14ac:dyDescent="0.2">
      <c r="A29" s="151">
        <v>90404</v>
      </c>
      <c r="B29" s="307">
        <v>48</v>
      </c>
      <c r="C29" s="312">
        <v>22</v>
      </c>
      <c r="D29" s="312">
        <v>42</v>
      </c>
      <c r="E29" s="94"/>
      <c r="G29" s="94"/>
      <c r="H29" s="94"/>
    </row>
    <row r="30" spans="1:8" s="91" customFormat="1" ht="14.25" x14ac:dyDescent="0.2">
      <c r="A30" s="151">
        <v>90405</v>
      </c>
      <c r="B30" s="307">
        <v>12</v>
      </c>
      <c r="C30" s="312">
        <v>10</v>
      </c>
      <c r="D30" s="312">
        <v>22</v>
      </c>
      <c r="E30" s="94"/>
      <c r="G30" s="94"/>
      <c r="H30" s="94"/>
    </row>
    <row r="31" spans="1:8" s="91" customFormat="1" ht="14.25" x14ac:dyDescent="0.2">
      <c r="A31" s="151" t="s">
        <v>169</v>
      </c>
      <c r="B31" s="307">
        <v>12</v>
      </c>
      <c r="C31" s="312">
        <v>10</v>
      </c>
      <c r="D31" s="312">
        <v>12</v>
      </c>
      <c r="E31" s="94"/>
      <c r="G31" s="94"/>
      <c r="H31" s="94"/>
    </row>
    <row r="32" spans="1:8" s="91" customFormat="1" ht="15" x14ac:dyDescent="0.2">
      <c r="A32" s="152" t="s">
        <v>167</v>
      </c>
      <c r="B32" s="142">
        <f>SUM(B26:B31)</f>
        <v>85</v>
      </c>
      <c r="C32" s="142">
        <f>SUM(C26:C31)</f>
        <v>44</v>
      </c>
      <c r="D32" s="142">
        <f>SUM(D26:D31)</f>
        <v>86</v>
      </c>
      <c r="E32" s="94"/>
      <c r="G32" s="94"/>
      <c r="H32" s="94"/>
    </row>
    <row r="33" spans="1:9" s="91" customFormat="1" ht="14.25" x14ac:dyDescent="0.2">
      <c r="B33" s="94"/>
      <c r="C33" s="93"/>
      <c r="D33" s="93"/>
      <c r="E33" s="94"/>
      <c r="G33" s="94"/>
      <c r="H33" s="94"/>
    </row>
    <row r="34" spans="1:9" s="91" customFormat="1" ht="30" customHeight="1" x14ac:dyDescent="0.2">
      <c r="A34" s="336" t="s">
        <v>170</v>
      </c>
      <c r="B34" s="338" t="s">
        <v>147</v>
      </c>
      <c r="C34" s="339"/>
      <c r="D34" s="339"/>
      <c r="E34" s="340"/>
      <c r="F34" s="338" t="s">
        <v>148</v>
      </c>
      <c r="G34" s="339"/>
      <c r="H34" s="339"/>
      <c r="I34" s="340"/>
    </row>
    <row r="35" spans="1:9" s="91" customFormat="1" ht="22.5" customHeight="1" x14ac:dyDescent="0.2">
      <c r="A35" s="337"/>
      <c r="B35" s="150" t="s">
        <v>171</v>
      </c>
      <c r="C35" s="150" t="s">
        <v>172</v>
      </c>
      <c r="D35" s="150" t="s">
        <v>173</v>
      </c>
      <c r="E35" s="150" t="s">
        <v>174</v>
      </c>
      <c r="F35" s="150" t="s">
        <v>171</v>
      </c>
      <c r="G35" s="150" t="s">
        <v>172</v>
      </c>
      <c r="H35" s="150" t="s">
        <v>173</v>
      </c>
      <c r="I35" s="150" t="s">
        <v>174</v>
      </c>
    </row>
    <row r="36" spans="1:9" s="91" customFormat="1" ht="15" x14ac:dyDescent="0.2">
      <c r="A36" s="143" t="s">
        <v>175</v>
      </c>
      <c r="B36" s="315"/>
      <c r="C36" s="314"/>
      <c r="D36" s="314"/>
      <c r="E36" s="314"/>
      <c r="F36" s="315"/>
      <c r="G36" s="314"/>
      <c r="H36" s="314"/>
      <c r="I36" s="320">
        <v>2</v>
      </c>
    </row>
    <row r="37" spans="1:9" s="91" customFormat="1" ht="15" x14ac:dyDescent="0.2">
      <c r="A37" s="144" t="s">
        <v>176</v>
      </c>
      <c r="B37" s="313">
        <v>8</v>
      </c>
      <c r="C37" s="314">
        <v>9</v>
      </c>
      <c r="D37" s="314"/>
      <c r="E37" s="314"/>
      <c r="F37" s="315">
        <v>11</v>
      </c>
      <c r="G37" s="314">
        <v>25</v>
      </c>
      <c r="H37" s="314"/>
      <c r="I37" s="320" t="s">
        <v>177</v>
      </c>
    </row>
    <row r="38" spans="1:9" s="91" customFormat="1" ht="14.25" x14ac:dyDescent="0.2">
      <c r="A38" s="144" t="s">
        <v>178</v>
      </c>
      <c r="B38" s="313">
        <v>11</v>
      </c>
      <c r="C38" s="314">
        <v>12</v>
      </c>
      <c r="D38" s="314"/>
      <c r="E38" s="314"/>
      <c r="F38" s="315">
        <v>21</v>
      </c>
      <c r="G38" s="314">
        <v>23</v>
      </c>
      <c r="H38" s="314"/>
      <c r="I38" s="314"/>
    </row>
    <row r="39" spans="1:9" s="91" customFormat="1" ht="14.25" x14ac:dyDescent="0.2">
      <c r="A39" s="143" t="s">
        <v>179</v>
      </c>
      <c r="B39" s="313">
        <v>2</v>
      </c>
      <c r="C39" s="314">
        <v>2</v>
      </c>
      <c r="D39" s="314"/>
      <c r="E39" s="314"/>
      <c r="F39" s="315">
        <v>2</v>
      </c>
      <c r="G39" s="314">
        <v>2</v>
      </c>
      <c r="H39" s="314"/>
      <c r="I39" s="314"/>
    </row>
    <row r="40" spans="1:9" s="91" customFormat="1" ht="14.25" x14ac:dyDescent="0.2">
      <c r="A40" s="143" t="s">
        <v>180</v>
      </c>
      <c r="B40" s="313"/>
      <c r="C40" s="314"/>
      <c r="D40" s="314"/>
      <c r="E40" s="314"/>
      <c r="F40" s="315"/>
      <c r="H40" s="314"/>
      <c r="I40" s="314"/>
    </row>
    <row r="41" spans="1:9" s="91" customFormat="1" ht="14.25" x14ac:dyDescent="0.2">
      <c r="A41" s="143" t="s">
        <v>181</v>
      </c>
      <c r="B41" s="313"/>
      <c r="C41" s="314"/>
      <c r="D41" s="314"/>
      <c r="E41" s="314"/>
      <c r="F41" s="315"/>
      <c r="G41" s="314"/>
      <c r="H41" s="314"/>
      <c r="I41" s="314"/>
    </row>
    <row r="42" spans="1:9" s="91" customFormat="1" ht="14.25" x14ac:dyDescent="0.2">
      <c r="A42" s="143" t="s">
        <v>182</v>
      </c>
      <c r="B42" s="313"/>
      <c r="C42" s="314"/>
      <c r="D42" s="314"/>
      <c r="E42" s="314"/>
      <c r="F42" s="315"/>
      <c r="G42" s="314"/>
      <c r="H42" s="314"/>
      <c r="I42" s="314"/>
    </row>
    <row r="43" spans="1:9" s="91" customFormat="1" ht="14.25" x14ac:dyDescent="0.2">
      <c r="A43" s="143" t="s">
        <v>183</v>
      </c>
      <c r="B43" s="313"/>
      <c r="C43" s="314"/>
      <c r="D43" s="314"/>
      <c r="E43" s="314"/>
      <c r="F43" s="315"/>
      <c r="G43" s="314"/>
      <c r="H43" s="314"/>
      <c r="I43" s="314"/>
    </row>
    <row r="44" spans="1:9" s="91" customFormat="1" ht="14.25" x14ac:dyDescent="0.2">
      <c r="A44" s="143" t="s">
        <v>184</v>
      </c>
      <c r="B44" s="313"/>
      <c r="C44" s="314"/>
      <c r="D44" s="314"/>
      <c r="E44" s="314"/>
      <c r="F44" s="315"/>
      <c r="G44" s="314"/>
      <c r="H44" s="314"/>
      <c r="I44" s="314"/>
    </row>
    <row r="45" spans="1:9" s="91" customFormat="1" ht="14.25" x14ac:dyDescent="0.2">
      <c r="A45" s="143" t="s">
        <v>185</v>
      </c>
      <c r="B45" s="313"/>
      <c r="C45" s="314"/>
      <c r="D45" s="314"/>
      <c r="E45" s="314"/>
      <c r="F45" s="315"/>
      <c r="G45" s="314"/>
      <c r="H45" s="314"/>
      <c r="I45" s="314"/>
    </row>
    <row r="46" spans="1:9" s="91" customFormat="1" ht="14.25" x14ac:dyDescent="0.2">
      <c r="A46" s="143" t="s">
        <v>186</v>
      </c>
      <c r="B46" s="313"/>
      <c r="C46" s="314"/>
      <c r="D46" s="314"/>
      <c r="E46" s="314"/>
      <c r="F46" s="315"/>
      <c r="G46" s="314"/>
      <c r="H46" s="314"/>
      <c r="I46" s="314"/>
    </row>
    <row r="47" spans="1:9" ht="15" x14ac:dyDescent="0.2">
      <c r="A47" s="145" t="s">
        <v>167</v>
      </c>
      <c r="B47" s="233">
        <f t="shared" ref="B47:I47" si="1">SUM(B36:B46)</f>
        <v>21</v>
      </c>
      <c r="C47" s="233">
        <f t="shared" si="1"/>
        <v>23</v>
      </c>
      <c r="D47" s="233">
        <f t="shared" si="1"/>
        <v>0</v>
      </c>
      <c r="E47" s="233">
        <f t="shared" si="1"/>
        <v>0</v>
      </c>
      <c r="F47" s="233">
        <f t="shared" si="1"/>
        <v>34</v>
      </c>
      <c r="G47" s="233">
        <f t="shared" si="1"/>
        <v>50</v>
      </c>
      <c r="H47" s="233">
        <f t="shared" si="1"/>
        <v>0</v>
      </c>
      <c r="I47" s="233">
        <f t="shared" si="1"/>
        <v>2</v>
      </c>
    </row>
    <row r="48" spans="1:9" x14ac:dyDescent="0.2">
      <c r="A48" s="86"/>
      <c r="B48" s="87"/>
      <c r="C48" s="42"/>
      <c r="D48" s="87"/>
      <c r="E48" s="87"/>
    </row>
    <row r="49" spans="1:3" ht="45" x14ac:dyDescent="0.2">
      <c r="A49" s="156" t="s">
        <v>187</v>
      </c>
      <c r="B49" s="319" t="s">
        <v>146</v>
      </c>
      <c r="C49" s="308" t="s">
        <v>188</v>
      </c>
    </row>
    <row r="50" spans="1:3" ht="14.25" x14ac:dyDescent="0.2">
      <c r="A50" s="232"/>
      <c r="B50" s="234">
        <f>IFERROR(('PROGRAM BUDGET &amp; FISCAL REPORT'!G13/'PARTICIPANTS &amp; DEMOGRAPHICS'!B6),"N/A")</f>
        <v>6530.5937411764708</v>
      </c>
      <c r="C50" s="234">
        <f>IFERROR(('PROGRAM BUDGET &amp; FISCAL REPORT'!N13/'PARTICIPANTS &amp; DEMOGRAPHICS'!D6),"N/A")</f>
        <v>6343.1939581395345</v>
      </c>
    </row>
  </sheetData>
  <sheetProtection algorithmName="SHA-512" hashValue="NAFgBco6h76XPXNIAxdJ+vmBxOCQw/+jsai27PHAnnbZA8q7aQIDXSByqbp9LrXMnwgU0mV51PX52EKI2dhU5g==" saltValue="v8tzmu+p18zhzDpJQCp3oQ=="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C2 – Program Budget
&amp;C&amp;P&amp;RFiscal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G1" sqref="G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189</v>
      </c>
      <c r="C2" s="98"/>
      <c r="D2" s="98"/>
      <c r="E2" s="98"/>
      <c r="F2" s="98"/>
      <c r="G2" s="88"/>
    </row>
    <row r="3" spans="1:8" ht="22.5" customHeight="1" x14ac:dyDescent="0.25">
      <c r="A3" s="40"/>
      <c r="B3" s="69" t="str">
        <f>'PROGRAM BUDGET &amp; FISCAL REPORT'!A6</f>
        <v>AGENCY NAME:</v>
      </c>
      <c r="C3" s="235" t="str">
        <f>'PROGRAM BUDGET &amp; FISCAL REPORT'!B6</f>
        <v>Providence St. John's Health Center - CFDC</v>
      </c>
      <c r="D3" s="236"/>
      <c r="E3" s="236"/>
      <c r="F3" s="237"/>
      <c r="G3" s="88"/>
    </row>
    <row r="4" spans="1:8" ht="22.5" customHeight="1" x14ac:dyDescent="0.25">
      <c r="A4" s="40"/>
      <c r="B4" s="69" t="str">
        <f>'PROGRAM BUDGET &amp; FISCAL REPORT'!A7</f>
        <v>PROGRAM NAME:</v>
      </c>
      <c r="C4" s="238" t="str">
        <f>'PROGRAM BUDGET &amp; FISCAL REPORT'!B7</f>
        <v>Youth Development Program</v>
      </c>
      <c r="D4" s="239"/>
      <c r="E4" s="239"/>
      <c r="F4" s="240"/>
      <c r="G4" s="88"/>
    </row>
    <row r="5" spans="1:8" ht="8.25" customHeight="1" thickBot="1" x14ac:dyDescent="0.25">
      <c r="A5" s="40"/>
      <c r="B5" s="65"/>
      <c r="C5" s="98"/>
      <c r="D5" s="98"/>
      <c r="E5" s="98"/>
      <c r="F5" s="98"/>
      <c r="G5" s="88"/>
    </row>
    <row r="6" spans="1:8" ht="52.5" customHeight="1" x14ac:dyDescent="0.55000000000000004">
      <c r="B6" s="99" t="s">
        <v>190</v>
      </c>
      <c r="C6" s="100" t="s">
        <v>191</v>
      </c>
      <c r="D6" s="100"/>
      <c r="E6" s="100" t="s">
        <v>192</v>
      </c>
      <c r="F6" s="101"/>
      <c r="G6" s="88"/>
    </row>
    <row r="7" spans="1:8" ht="14.25" x14ac:dyDescent="0.2">
      <c r="B7" s="102" t="s">
        <v>193</v>
      </c>
      <c r="C7" s="103">
        <f>'PARTICIPANTS &amp; DEMOGRAPHICS'!B6</f>
        <v>85</v>
      </c>
      <c r="D7" s="104"/>
      <c r="E7" s="104">
        <f>'PARTICIPANTS &amp; DEMOGRAPHICS'!D6</f>
        <v>86</v>
      </c>
      <c r="F7" s="105"/>
      <c r="G7" s="88"/>
    </row>
    <row r="8" spans="1:8" ht="14.25" x14ac:dyDescent="0.2">
      <c r="B8" s="106" t="s">
        <v>194</v>
      </c>
      <c r="C8" s="103">
        <f>'PARTICIPANTS &amp; DEMOGRAPHICS'!B7</f>
        <v>85</v>
      </c>
      <c r="D8" s="104"/>
      <c r="E8" s="104">
        <f>'PARTICIPANTS &amp; DEMOGRAPHICS'!D7</f>
        <v>86</v>
      </c>
      <c r="F8" s="105"/>
      <c r="G8" s="88"/>
    </row>
    <row r="9" spans="1:8" ht="14.25" x14ac:dyDescent="0.2">
      <c r="B9" s="102" t="s">
        <v>195</v>
      </c>
      <c r="C9" s="141">
        <f>IFERROR(C8/C7, "N/A")</f>
        <v>1</v>
      </c>
      <c r="D9" s="108"/>
      <c r="E9" s="246">
        <f>IFERROR(E8/E7, "N/A")</f>
        <v>1</v>
      </c>
      <c r="F9" s="105"/>
      <c r="G9" s="88"/>
    </row>
    <row r="10" spans="1:8" ht="14.25" x14ac:dyDescent="0.2">
      <c r="B10" s="102"/>
      <c r="C10" s="107"/>
      <c r="D10" s="108"/>
      <c r="E10" s="103"/>
      <c r="F10" s="105"/>
      <c r="G10" s="88"/>
    </row>
    <row r="11" spans="1:8" ht="63.75" customHeight="1" x14ac:dyDescent="0.55000000000000004">
      <c r="B11" s="109" t="s">
        <v>196</v>
      </c>
      <c r="C11" s="316" t="s">
        <v>197</v>
      </c>
      <c r="D11" s="316" t="s">
        <v>198</v>
      </c>
      <c r="E11" s="316" t="s">
        <v>199</v>
      </c>
      <c r="F11" s="317" t="s">
        <v>200</v>
      </c>
      <c r="G11" s="88"/>
    </row>
    <row r="12" spans="1:8" ht="16.5" customHeight="1" x14ac:dyDescent="0.2">
      <c r="B12" s="102" t="s">
        <v>201</v>
      </c>
      <c r="C12" s="241">
        <f>'PROGRAM BUDGET &amp; FISCAL REPORT'!G13</f>
        <v>555100.46799999999</v>
      </c>
      <c r="D12" s="241">
        <f>'PROGRAM BUDGET &amp; FISCAL REPORT'!H13</f>
        <v>282842.05896900001</v>
      </c>
      <c r="E12" s="241">
        <f>'PROGRAM BUDGET &amp; FISCAL REPORT'!N13</f>
        <v>545514.68039999995</v>
      </c>
      <c r="F12" s="242">
        <f>'PROGRAM BUDGET &amp; FISCAL REPORT'!L13</f>
        <v>282841.68658500002</v>
      </c>
      <c r="G12" s="88"/>
    </row>
    <row r="13" spans="1:8" ht="16.5" customHeight="1" x14ac:dyDescent="0.2">
      <c r="B13" s="102"/>
      <c r="C13" s="110"/>
      <c r="D13" s="110"/>
      <c r="E13" s="110"/>
      <c r="F13" s="111"/>
      <c r="G13" s="88"/>
    </row>
    <row r="14" spans="1:8" ht="19.5" x14ac:dyDescent="0.55000000000000004">
      <c r="B14" s="109" t="s">
        <v>202</v>
      </c>
      <c r="C14" s="341" t="s">
        <v>203</v>
      </c>
      <c r="D14" s="341"/>
      <c r="E14" s="341" t="s">
        <v>204</v>
      </c>
      <c r="F14" s="342"/>
      <c r="G14" s="88"/>
    </row>
    <row r="15" spans="1:8" ht="14.25" x14ac:dyDescent="0.2">
      <c r="B15" s="102" t="s">
        <v>205</v>
      </c>
      <c r="C15" s="243">
        <f>IFERROR(C12*C9,"N/A")</f>
        <v>555100.46799999999</v>
      </c>
      <c r="D15" s="112">
        <f>IFERROR(C15/C12,"N/A")</f>
        <v>1</v>
      </c>
      <c r="E15" s="244">
        <f>IFERROR(E12*E9,"N/A")</f>
        <v>545514.68039999995</v>
      </c>
      <c r="F15" s="114">
        <f>IFERROR(E15/E12,"N/A")</f>
        <v>1</v>
      </c>
      <c r="G15" s="88"/>
    </row>
    <row r="16" spans="1:8" ht="14.25" x14ac:dyDescent="0.2">
      <c r="B16" s="102" t="s">
        <v>206</v>
      </c>
      <c r="C16" s="243">
        <f>D12</f>
        <v>282842.05896900001</v>
      </c>
      <c r="D16" s="112">
        <f>IFERROR(C16/C15, "N/A")</f>
        <v>0.50953309405064307</v>
      </c>
      <c r="E16" s="244">
        <f>F12</f>
        <v>282841.68658500002</v>
      </c>
      <c r="F16" s="114">
        <f>IFERROR(E16/E15, "N/A")</f>
        <v>0.51848593034674273</v>
      </c>
      <c r="G16" s="88"/>
      <c r="H16" s="89"/>
    </row>
    <row r="17" spans="2:7" ht="15" thickBot="1" x14ac:dyDescent="0.25">
      <c r="B17" s="102"/>
      <c r="C17" s="66"/>
      <c r="D17" s="112"/>
      <c r="E17" s="113"/>
      <c r="F17" s="114"/>
      <c r="G17" s="88"/>
    </row>
    <row r="18" spans="2:7" ht="15.75" thickBot="1" x14ac:dyDescent="0.3">
      <c r="B18" s="115" t="s">
        <v>207</v>
      </c>
      <c r="C18" s="245">
        <f>IFERROR(C15-C16,"N/A")</f>
        <v>272258.40903099999</v>
      </c>
      <c r="D18" s="116">
        <f>IFERROR(C18/C15, "N/A")</f>
        <v>0.49046690594935688</v>
      </c>
      <c r="E18" s="245">
        <f>IFERROR(E15-E16, "N/A")</f>
        <v>262672.99381499994</v>
      </c>
      <c r="F18" s="117">
        <f>IFERROR(E18/E15, "N/A")</f>
        <v>0.48151406965325722</v>
      </c>
      <c r="G18" s="88"/>
    </row>
    <row r="19" spans="2:7" ht="30.75" thickBot="1" x14ac:dyDescent="0.3">
      <c r="B19" s="102"/>
      <c r="C19" s="118"/>
      <c r="D19" s="119" t="s">
        <v>208</v>
      </c>
      <c r="E19" s="104"/>
      <c r="F19" s="119" t="s">
        <v>208</v>
      </c>
    </row>
    <row r="20" spans="2:7" s="71" customFormat="1" ht="12.75" x14ac:dyDescent="0.2">
      <c r="B20" s="120"/>
      <c r="C20" s="79"/>
      <c r="D20" s="79"/>
      <c r="E20" s="79"/>
      <c r="F20" s="79"/>
      <c r="G20" s="90"/>
    </row>
  </sheetData>
  <sheetProtection algorithmName="SHA-512" hashValue="PlVGUgMnT385YfCZHWfaFOexL6/FDzs345WKlaIcxfjeCVUW2rWri8AMsoaLKtHy4zAHHGt2YS0v2HhHgTCYtg==" saltValue="QghnE8GhYU81CsGuc8PkX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
&amp;C&amp;P&amp;RFiscal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7"/>
  <sheetViews>
    <sheetView zoomScaleNormal="100" workbookViewId="0">
      <selection activeCell="F1" sqref="F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46" t="s">
        <v>209</v>
      </c>
      <c r="B2" s="347"/>
      <c r="C2" s="347"/>
      <c r="D2" s="347"/>
      <c r="E2" s="347"/>
    </row>
    <row r="3" spans="1:7" ht="15.75" x14ac:dyDescent="0.2">
      <c r="A3" s="247"/>
      <c r="B3" s="248"/>
      <c r="C3" s="248"/>
      <c r="D3" s="248"/>
      <c r="E3" s="248"/>
    </row>
    <row r="4" spans="1:7" ht="79.5" customHeight="1" x14ac:dyDescent="0.2">
      <c r="A4" s="348" t="s">
        <v>210</v>
      </c>
      <c r="B4" s="349"/>
      <c r="C4" s="349"/>
      <c r="D4" s="349"/>
      <c r="E4" s="349"/>
    </row>
    <row r="5" spans="1:7" ht="15" x14ac:dyDescent="0.2">
      <c r="A5" s="249"/>
      <c r="B5" s="250"/>
      <c r="C5" s="250"/>
      <c r="D5" s="250"/>
      <c r="E5" s="250"/>
    </row>
    <row r="6" spans="1:7" ht="45" x14ac:dyDescent="0.25">
      <c r="A6" s="350" t="s">
        <v>211</v>
      </c>
      <c r="B6" s="351"/>
      <c r="C6" s="318" t="s">
        <v>212</v>
      </c>
      <c r="D6" s="318" t="s">
        <v>213</v>
      </c>
      <c r="E6" s="251" t="s">
        <v>214</v>
      </c>
    </row>
    <row r="7" spans="1:7" ht="15" x14ac:dyDescent="0.25">
      <c r="A7" s="252" t="s">
        <v>215</v>
      </c>
      <c r="B7" s="253"/>
      <c r="C7" s="252"/>
      <c r="D7" s="252"/>
      <c r="E7" s="252"/>
    </row>
    <row r="8" spans="1:7" ht="15" x14ac:dyDescent="0.25">
      <c r="A8" s="254" t="s">
        <v>59</v>
      </c>
      <c r="B8" s="254" t="s">
        <v>216</v>
      </c>
      <c r="C8" s="255">
        <v>10000</v>
      </c>
      <c r="D8" s="255">
        <v>15000</v>
      </c>
      <c r="E8" s="252"/>
    </row>
    <row r="9" spans="1:7" ht="15" x14ac:dyDescent="0.25">
      <c r="A9" s="256"/>
      <c r="B9" s="257"/>
      <c r="C9" s="257"/>
      <c r="E9" s="258"/>
    </row>
    <row r="10" spans="1:7" ht="15" x14ac:dyDescent="0.25">
      <c r="A10" s="345" t="s">
        <v>133</v>
      </c>
      <c r="B10" s="344"/>
      <c r="C10" s="344"/>
      <c r="D10" s="344"/>
      <c r="E10" s="344"/>
    </row>
    <row r="11" spans="1:7" ht="14.25" x14ac:dyDescent="0.2">
      <c r="A11" s="259" t="s">
        <v>217</v>
      </c>
      <c r="B11" s="259" t="s">
        <v>218</v>
      </c>
      <c r="C11" s="268">
        <v>3467207</v>
      </c>
      <c r="D11" s="268">
        <v>3467207</v>
      </c>
      <c r="E11" s="260"/>
    </row>
    <row r="12" spans="1:7" ht="14.25" x14ac:dyDescent="0.2">
      <c r="A12" s="259" t="s">
        <v>219</v>
      </c>
      <c r="B12" s="259" t="s">
        <v>220</v>
      </c>
      <c r="C12" s="268">
        <v>400000</v>
      </c>
      <c r="D12" s="268">
        <v>431000</v>
      </c>
      <c r="E12" s="260"/>
    </row>
    <row r="13" spans="1:7" ht="14.25" x14ac:dyDescent="0.2">
      <c r="A13" s="259" t="s">
        <v>221</v>
      </c>
      <c r="B13" s="259" t="s">
        <v>222</v>
      </c>
      <c r="C13" s="268">
        <v>315611</v>
      </c>
      <c r="D13" s="268">
        <v>344914</v>
      </c>
      <c r="E13" s="261"/>
    </row>
    <row r="14" spans="1:7" ht="14.25" x14ac:dyDescent="0.2">
      <c r="A14" s="262"/>
      <c r="B14" s="262"/>
      <c r="C14" s="262"/>
      <c r="D14" s="263"/>
      <c r="E14" s="264"/>
    </row>
    <row r="15" spans="1:7" ht="15" x14ac:dyDescent="0.25">
      <c r="A15" s="345" t="s">
        <v>134</v>
      </c>
      <c r="B15" s="344"/>
      <c r="C15" s="344"/>
      <c r="D15" s="344"/>
      <c r="E15" s="344"/>
    </row>
    <row r="16" spans="1:7" ht="14.25" x14ac:dyDescent="0.2">
      <c r="B16" s="259" t="s">
        <v>223</v>
      </c>
      <c r="C16" s="268">
        <v>290000</v>
      </c>
      <c r="D16" s="268">
        <v>290000</v>
      </c>
      <c r="E16" s="260"/>
    </row>
    <row r="17" spans="1:5" ht="14.25" x14ac:dyDescent="0.2">
      <c r="B17" s="259" t="s">
        <v>224</v>
      </c>
      <c r="C17" s="268">
        <v>180800</v>
      </c>
      <c r="D17" s="268">
        <v>192800</v>
      </c>
      <c r="E17" s="261"/>
    </row>
    <row r="18" spans="1:5" ht="14.25" x14ac:dyDescent="0.2">
      <c r="A18" s="262"/>
      <c r="B18" s="262"/>
      <c r="C18" s="262"/>
      <c r="D18" s="263"/>
      <c r="E18" s="264"/>
    </row>
    <row r="19" spans="1:5" ht="15" x14ac:dyDescent="0.25">
      <c r="A19" s="345" t="s">
        <v>135</v>
      </c>
      <c r="B19" s="344"/>
      <c r="C19" s="344"/>
      <c r="D19" s="344"/>
      <c r="E19" s="344"/>
    </row>
    <row r="20" spans="1:5" ht="14.25" x14ac:dyDescent="0.2">
      <c r="B20" s="259" t="s">
        <v>126</v>
      </c>
      <c r="C20" s="268">
        <v>0</v>
      </c>
      <c r="D20" s="268">
        <v>0</v>
      </c>
      <c r="E20" s="260"/>
    </row>
    <row r="21" spans="1:5" ht="14.25" x14ac:dyDescent="0.2">
      <c r="B21" s="259" t="s">
        <v>126</v>
      </c>
      <c r="C21" s="268">
        <v>0</v>
      </c>
      <c r="D21" s="268">
        <v>0</v>
      </c>
      <c r="E21" s="261"/>
    </row>
    <row r="22" spans="1:5" ht="14.25" x14ac:dyDescent="0.2">
      <c r="A22" s="262"/>
      <c r="B22" s="262"/>
      <c r="C22" s="262"/>
      <c r="D22" s="263"/>
      <c r="E22" s="264"/>
    </row>
    <row r="23" spans="1:5" ht="15" x14ac:dyDescent="0.25">
      <c r="A23" s="345" t="s">
        <v>136</v>
      </c>
      <c r="B23" s="344"/>
      <c r="C23" s="344"/>
      <c r="D23" s="344"/>
      <c r="E23" s="344"/>
    </row>
    <row r="24" spans="1:5" ht="14.25" x14ac:dyDescent="0.2">
      <c r="B24" s="259" t="s">
        <v>126</v>
      </c>
      <c r="C24" s="268">
        <v>0</v>
      </c>
      <c r="D24" s="268">
        <v>0</v>
      </c>
      <c r="E24" s="260"/>
    </row>
    <row r="25" spans="1:5" ht="14.25" x14ac:dyDescent="0.2">
      <c r="B25" s="259" t="s">
        <v>126</v>
      </c>
      <c r="C25" s="268">
        <v>0</v>
      </c>
      <c r="D25" s="268">
        <v>0</v>
      </c>
      <c r="E25" s="261"/>
    </row>
    <row r="26" spans="1:5" ht="14.25" x14ac:dyDescent="0.2">
      <c r="A26" s="262"/>
      <c r="B26" s="262"/>
      <c r="C26" s="262"/>
      <c r="D26" s="263"/>
      <c r="E26" s="264"/>
    </row>
    <row r="27" spans="1:5" ht="15" x14ac:dyDescent="0.25">
      <c r="A27" s="345" t="s">
        <v>137</v>
      </c>
      <c r="B27" s="344"/>
      <c r="C27" s="344"/>
      <c r="D27" s="344"/>
      <c r="E27" s="344"/>
    </row>
    <row r="28" spans="1:5" ht="14.25" x14ac:dyDescent="0.2">
      <c r="B28" s="259" t="s">
        <v>225</v>
      </c>
      <c r="C28" s="268">
        <v>56200</v>
      </c>
      <c r="D28" s="268">
        <v>56200</v>
      </c>
      <c r="E28" s="260"/>
    </row>
    <row r="29" spans="1:5" ht="14.25" x14ac:dyDescent="0.2">
      <c r="B29" s="259" t="s">
        <v>226</v>
      </c>
      <c r="C29" s="268">
        <v>352755</v>
      </c>
      <c r="D29" s="268">
        <v>596000</v>
      </c>
      <c r="E29" s="261" t="s">
        <v>227</v>
      </c>
    </row>
    <row r="30" spans="1:5" ht="14.25" x14ac:dyDescent="0.2">
      <c r="A30" s="262"/>
      <c r="B30" s="262"/>
      <c r="C30" s="262"/>
      <c r="D30" s="263"/>
      <c r="E30" s="264"/>
    </row>
    <row r="31" spans="1:5" ht="15" x14ac:dyDescent="0.25">
      <c r="A31" s="345" t="s">
        <v>138</v>
      </c>
      <c r="B31" s="344"/>
      <c r="C31" s="344"/>
      <c r="D31" s="344"/>
      <c r="E31" s="344"/>
    </row>
    <row r="32" spans="1:5" ht="14.25" x14ac:dyDescent="0.2">
      <c r="B32" s="259" t="s">
        <v>139</v>
      </c>
      <c r="C32" s="268">
        <v>500000</v>
      </c>
      <c r="D32" s="268">
        <v>351223</v>
      </c>
      <c r="E32" s="260"/>
    </row>
    <row r="33" spans="1:5" ht="14.25" x14ac:dyDescent="0.2">
      <c r="B33" s="259" t="s">
        <v>126</v>
      </c>
      <c r="C33" s="268">
        <v>0</v>
      </c>
      <c r="D33" s="268">
        <v>0</v>
      </c>
      <c r="E33" s="261"/>
    </row>
    <row r="34" spans="1:5" x14ac:dyDescent="0.2">
      <c r="A34" s="265"/>
      <c r="B34" s="265"/>
      <c r="C34" s="265"/>
      <c r="D34" s="265"/>
      <c r="E34" s="266"/>
    </row>
    <row r="35" spans="1:5" ht="15" x14ac:dyDescent="0.25">
      <c r="A35" s="345" t="s">
        <v>140</v>
      </c>
      <c r="B35" s="345"/>
      <c r="C35" s="269">
        <f>SUM(C10:C34)</f>
        <v>5562573</v>
      </c>
      <c r="D35" s="269">
        <f>SUM(D10:D34)</f>
        <v>5729344</v>
      </c>
      <c r="E35" s="270"/>
    </row>
    <row r="36" spans="1:5" x14ac:dyDescent="0.2">
      <c r="A36" s="267"/>
      <c r="B36" s="267"/>
      <c r="C36" s="267"/>
      <c r="D36" s="267"/>
      <c r="E36" s="267"/>
    </row>
    <row r="37" spans="1:5" x14ac:dyDescent="0.2">
      <c r="A37" s="343"/>
      <c r="B37" s="344"/>
      <c r="C37" s="344"/>
      <c r="D37" s="344"/>
      <c r="E37" s="344"/>
    </row>
  </sheetData>
  <sheetProtection algorithmName="SHA-512" hashValue="nHH8ftqkEeD/pTJuMzTXs0RZle0sm3xT1E1yFewtULbouKgK6Gx/4EqwrVFZT/zDHeQ7RWKB5xqTYLIEdNTt4A==" saltValue="uPc132smzvIdl86STYokFA==" spinCount="100000" sheet="1" objects="1" scenarios="1"/>
  <mergeCells count="11">
    <mergeCell ref="A2:E2"/>
    <mergeCell ref="A4:E4"/>
    <mergeCell ref="A6:B6"/>
    <mergeCell ref="A10:E10"/>
    <mergeCell ref="A19:E19"/>
    <mergeCell ref="A37:E37"/>
    <mergeCell ref="A31:E31"/>
    <mergeCell ref="A35:B35"/>
    <mergeCell ref="A15:E15"/>
    <mergeCell ref="A27:E27"/>
    <mergeCell ref="A23:E23"/>
  </mergeCells>
  <pageMargins left="0.7" right="0.7" top="0.75" bottom="0.75" header="0.3" footer="0.3"/>
  <pageSetup scale="79" firstPageNumber="8" orientation="portrait" r:id="rId1"/>
  <headerFooter>
    <oddFooter>&amp;LCity of Santa Monica
Exhibit C2 – Program Budget
&amp;C&amp;P&amp;RFiscal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5310E-C921-4601-8C61-BF3FC5CC0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2023-02-04T00:12:51Z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