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2022 YE Source Docs/"/>
    </mc:Choice>
  </mc:AlternateContent>
  <xr:revisionPtr revIDLastSave="289" documentId="11_5917318BE200C0762A01D539CADBA3C6A3C738EC" xr6:coauthVersionLast="46" xr6:coauthVersionMax="47" xr10:uidLastSave="{90DDCBEE-39E2-48BC-A1B8-4C48A09309DF}"/>
  <workbookProtection workbookAlgorithmName="SHA-512" workbookHashValue="s381TQ1TWHaETXk2+l+0KDNHONbJf9GhS+qkEjasfadatG1ir9nkCBoRrNGwXIWK57b8g6Qc/tn+UNsPVdW6fQ==" workbookSaltValue="KHS9p4IwRH2RrGbtR9d4Kg==" workbookSpinCount="100000" lockStructure="1"/>
  <bookViews>
    <workbookView xWindow="-120" yWindow="-120" windowWidth="29040" windowHeight="15840" xr2:uid="{00000000-000D-0000-FFFF-FFFF00000000}"/>
  </bookViews>
  <sheets>
    <sheet name="INSTRUCTIONS" sheetId="29" r:id="rId1"/>
    <sheet name="Worksheet" sheetId="35" state="hidden" r:id="rId2"/>
    <sheet name="PROGRAM BUDGET &amp; FISCAL REPORT" sheetId="19" r:id="rId3"/>
    <sheet name="PARTICIPANTS &amp; DEMOGRAPHICS" sheetId="32" r:id="rId4"/>
    <sheet name="CASH MATCH" sheetId="33" r:id="rId5"/>
    <sheet name="AGENCY FUNDING SOURCES" sheetId="34" r:id="rId6"/>
    <sheet name="ESRI_MAPINFO_SHEET" sheetId="31" state="veryHidden" r:id="rId7"/>
  </sheets>
  <definedNames>
    <definedName name="_xlnm.Print_Area" localSheetId="5">'AGENCY FUNDING SOURCES'!$A$1:$E$38</definedName>
    <definedName name="_xlnm.Print_Area" localSheetId="2">'PROGRAM BUDGET &amp; FISCAL REPORT'!$A$1:$N$138</definedName>
    <definedName name="_xlnm.Print_Area" localSheetId="1">Worksheet!$A$3:$S$147</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9" i="19" l="1"/>
  <c r="K39" i="19"/>
  <c r="J39" i="19"/>
  <c r="J41" i="19" s="1"/>
  <c r="H39" i="19"/>
  <c r="G39" i="19"/>
  <c r="N29" i="19"/>
  <c r="K29" i="19"/>
  <c r="K41" i="19" s="1"/>
  <c r="J29" i="19"/>
  <c r="H29" i="19"/>
  <c r="G29" i="19"/>
  <c r="G41" i="19" s="1"/>
  <c r="F38" i="19"/>
  <c r="F37" i="19"/>
  <c r="F36" i="19"/>
  <c r="F35" i="19"/>
  <c r="F34" i="19"/>
  <c r="F33" i="19"/>
  <c r="F32" i="19"/>
  <c r="F31" i="19"/>
  <c r="F30" i="19"/>
  <c r="E39" i="19" s="1"/>
  <c r="F28" i="19"/>
  <c r="F27" i="19"/>
  <c r="E29" i="19" s="1"/>
  <c r="E41" i="19" l="1"/>
  <c r="N41" i="19"/>
  <c r="H41" i="19"/>
  <c r="K48" i="19"/>
  <c r="K49" i="35" l="1"/>
  <c r="W107" i="35" l="1"/>
  <c r="W71" i="35"/>
  <c r="V34" i="35" l="1"/>
  <c r="V44" i="35"/>
  <c r="V107" i="35"/>
  <c r="V72" i="35"/>
  <c r="V68" i="35"/>
  <c r="V76" i="35"/>
  <c r="V71" i="35"/>
  <c r="K75" i="19"/>
  <c r="L36" i="19" l="1"/>
  <c r="I36" i="19"/>
  <c r="M36" i="19" l="1"/>
  <c r="X35" i="35"/>
  <c r="J137" i="19"/>
  <c r="J136" i="19"/>
  <c r="J131" i="19"/>
  <c r="J130" i="19"/>
  <c r="J128" i="19"/>
  <c r="J127" i="19"/>
  <c r="AC35" i="35" l="1"/>
  <c r="N35" i="35" s="1"/>
  <c r="K35" i="35"/>
  <c r="L35" i="35" s="1"/>
  <c r="N110" i="19"/>
  <c r="N62" i="19"/>
  <c r="N52" i="19"/>
  <c r="J109" i="19" l="1"/>
  <c r="K109" i="19" s="1"/>
  <c r="J101" i="19"/>
  <c r="J100" i="19"/>
  <c r="J99" i="19"/>
  <c r="J93" i="19"/>
  <c r="J92" i="19"/>
  <c r="J91" i="19"/>
  <c r="J85" i="19"/>
  <c r="J84" i="19"/>
  <c r="J83" i="19"/>
  <c r="K83" i="19" s="1"/>
  <c r="J82" i="19"/>
  <c r="K82" i="19" s="1"/>
  <c r="J81" i="19"/>
  <c r="K81" i="19" s="1"/>
  <c r="J80" i="19"/>
  <c r="K80" i="19" s="1"/>
  <c r="J79" i="19"/>
  <c r="K79" i="19" s="1"/>
  <c r="J78" i="19"/>
  <c r="K78" i="19" s="1"/>
  <c r="J77" i="19"/>
  <c r="K77" i="19" s="1"/>
  <c r="J76" i="19"/>
  <c r="K76" i="19" s="1"/>
  <c r="J75" i="19"/>
  <c r="J74" i="19"/>
  <c r="J73" i="19"/>
  <c r="J72" i="19"/>
  <c r="K72" i="19" s="1"/>
  <c r="J71" i="19"/>
  <c r="K71" i="19" s="1"/>
  <c r="J70" i="19"/>
  <c r="J69" i="19"/>
  <c r="J68" i="19"/>
  <c r="J62" i="19"/>
  <c r="J61" i="19"/>
  <c r="J60" i="19"/>
  <c r="K60" i="19" s="1"/>
  <c r="J59" i="19"/>
  <c r="K59" i="19" s="1"/>
  <c r="J58" i="19"/>
  <c r="K58" i="19" s="1"/>
  <c r="J52" i="19"/>
  <c r="J51" i="19"/>
  <c r="J50" i="19"/>
  <c r="K50" i="19" s="1"/>
  <c r="J49" i="19"/>
  <c r="K49" i="19" s="1"/>
  <c r="J48" i="19"/>
  <c r="J47" i="19"/>
  <c r="K47" i="19" s="1"/>
  <c r="J46" i="19"/>
  <c r="AC59" i="35" l="1"/>
  <c r="N59" i="35" s="1"/>
  <c r="N61" i="19" s="1"/>
  <c r="N49" i="35"/>
  <c r="N51" i="19" s="1"/>
  <c r="Y61" i="35"/>
  <c r="U100" i="35"/>
  <c r="T100" i="35"/>
  <c r="X99" i="35"/>
  <c r="AC99" i="35" s="1"/>
  <c r="N99" i="35" s="1"/>
  <c r="N101" i="19" s="1"/>
  <c r="X98" i="35"/>
  <c r="X97" i="35"/>
  <c r="AC97" i="35" s="1"/>
  <c r="U92" i="35"/>
  <c r="T92" i="35"/>
  <c r="T109" i="35"/>
  <c r="AA100" i="35"/>
  <c r="Z100" i="35"/>
  <c r="Y100" i="35"/>
  <c r="W100" i="35"/>
  <c r="V100" i="35"/>
  <c r="AA92" i="35"/>
  <c r="Z92" i="35"/>
  <c r="Y92" i="35"/>
  <c r="W92" i="35"/>
  <c r="V92" i="35"/>
  <c r="X91" i="35"/>
  <c r="AC91" i="35" s="1"/>
  <c r="N91" i="35" s="1"/>
  <c r="N93" i="19" s="1"/>
  <c r="X90" i="35"/>
  <c r="AC90" i="35" s="1"/>
  <c r="X89" i="35"/>
  <c r="AC89" i="35" s="1"/>
  <c r="N89" i="35" s="1"/>
  <c r="N91" i="19" s="1"/>
  <c r="X83" i="35"/>
  <c r="AC83" i="35" s="1"/>
  <c r="N83" i="35" s="1"/>
  <c r="N85" i="19" s="1"/>
  <c r="W84" i="35"/>
  <c r="AA109" i="35"/>
  <c r="Z109" i="35"/>
  <c r="Y109" i="35"/>
  <c r="W109" i="35"/>
  <c r="V109" i="35"/>
  <c r="U109" i="35"/>
  <c r="AA84" i="35"/>
  <c r="Z84" i="35"/>
  <c r="Y84" i="35"/>
  <c r="V84" i="35"/>
  <c r="U84" i="35"/>
  <c r="T84" i="35"/>
  <c r="AA61" i="35"/>
  <c r="Z61" i="35"/>
  <c r="W61" i="35"/>
  <c r="V61" i="35"/>
  <c r="U61" i="35"/>
  <c r="T61" i="35"/>
  <c r="AA51" i="35"/>
  <c r="Z51" i="35"/>
  <c r="Y51" i="35"/>
  <c r="W51" i="35"/>
  <c r="V51" i="35"/>
  <c r="U51" i="35"/>
  <c r="T51" i="35"/>
  <c r="AA39" i="35"/>
  <c r="Z39" i="35"/>
  <c r="Y39" i="35"/>
  <c r="W39" i="35"/>
  <c r="T39" i="35"/>
  <c r="M136" i="35"/>
  <c r="K136" i="35"/>
  <c r="L135" i="35"/>
  <c r="L134" i="35"/>
  <c r="L129" i="35"/>
  <c r="L128" i="35"/>
  <c r="L126" i="35"/>
  <c r="L125" i="35"/>
  <c r="I120" i="35"/>
  <c r="I136" i="35" s="1"/>
  <c r="J109" i="35"/>
  <c r="L108" i="35"/>
  <c r="M108" i="35" s="1"/>
  <c r="I108" i="35"/>
  <c r="F108" i="35"/>
  <c r="K100" i="35"/>
  <c r="K11" i="35" s="1"/>
  <c r="J100" i="35"/>
  <c r="J11" i="35" s="1"/>
  <c r="H100" i="35"/>
  <c r="H11" i="35" s="1"/>
  <c r="G100" i="35"/>
  <c r="L99" i="35"/>
  <c r="M99" i="35" s="1"/>
  <c r="I99" i="35"/>
  <c r="L98" i="35"/>
  <c r="M98" i="35" s="1"/>
  <c r="I98" i="35"/>
  <c r="L97" i="35"/>
  <c r="I97" i="35"/>
  <c r="I100" i="35" s="1"/>
  <c r="I11" i="35" s="1"/>
  <c r="K92" i="35"/>
  <c r="J92" i="35"/>
  <c r="H92" i="35"/>
  <c r="H10" i="35" s="1"/>
  <c r="G92" i="35"/>
  <c r="G10" i="35" s="1"/>
  <c r="L91" i="35"/>
  <c r="M91" i="35" s="1"/>
  <c r="I91" i="35"/>
  <c r="L90" i="35"/>
  <c r="M90" i="35" s="1"/>
  <c r="I90" i="35"/>
  <c r="L89" i="35"/>
  <c r="I89" i="35"/>
  <c r="J84" i="35"/>
  <c r="J9" i="35" s="1"/>
  <c r="L83" i="35"/>
  <c r="M83" i="35" s="1"/>
  <c r="I83" i="35"/>
  <c r="L82" i="35"/>
  <c r="M82" i="35" s="1"/>
  <c r="I82" i="35"/>
  <c r="I81" i="35"/>
  <c r="I80" i="35"/>
  <c r="I79" i="35"/>
  <c r="I78" i="35"/>
  <c r="I77" i="35"/>
  <c r="I76" i="35"/>
  <c r="I75" i="35"/>
  <c r="G74" i="35"/>
  <c r="I74" i="35" s="1"/>
  <c r="I73" i="35"/>
  <c r="I72" i="35"/>
  <c r="H71" i="35"/>
  <c r="G71" i="35"/>
  <c r="G70" i="35"/>
  <c r="I70" i="35" s="1"/>
  <c r="I69" i="35"/>
  <c r="G68" i="35"/>
  <c r="I68" i="35" s="1"/>
  <c r="G67" i="35"/>
  <c r="I67" i="35" s="1"/>
  <c r="G66" i="35"/>
  <c r="I66" i="35" s="1"/>
  <c r="J61" i="35"/>
  <c r="J8" i="35" s="1"/>
  <c r="H61" i="35"/>
  <c r="L60" i="35"/>
  <c r="M60" i="35" s="1"/>
  <c r="I60" i="35"/>
  <c r="L59" i="35"/>
  <c r="M59" i="35" s="1"/>
  <c r="I59" i="35"/>
  <c r="I58" i="35"/>
  <c r="G57" i="35"/>
  <c r="I57" i="35" s="1"/>
  <c r="G56" i="35"/>
  <c r="J51" i="35"/>
  <c r="J7" i="35" s="1"/>
  <c r="L50" i="35"/>
  <c r="M50" i="35" s="1"/>
  <c r="I50" i="35"/>
  <c r="L49" i="35"/>
  <c r="M49" i="35" s="1"/>
  <c r="I49" i="35"/>
  <c r="L38" i="35"/>
  <c r="M38" i="35" s="1"/>
  <c r="I38" i="35"/>
  <c r="I37" i="35"/>
  <c r="G36" i="35"/>
  <c r="I36" i="35" s="1"/>
  <c r="D36" i="35"/>
  <c r="J34" i="35"/>
  <c r="H34" i="35"/>
  <c r="G34" i="35"/>
  <c r="G33" i="35"/>
  <c r="I33" i="35" s="1"/>
  <c r="J32" i="35"/>
  <c r="G32" i="35"/>
  <c r="I32" i="35" s="1"/>
  <c r="G31" i="35"/>
  <c r="I31" i="35" s="1"/>
  <c r="G30" i="35"/>
  <c r="I30" i="35" s="1"/>
  <c r="H29" i="35"/>
  <c r="G29" i="35"/>
  <c r="J28" i="35"/>
  <c r="H28" i="35"/>
  <c r="G28" i="35"/>
  <c r="G27" i="35"/>
  <c r="I27" i="35" s="1"/>
  <c r="D13" i="35"/>
  <c r="J12" i="35"/>
  <c r="D12" i="35"/>
  <c r="G11" i="35"/>
  <c r="D11" i="35"/>
  <c r="K10" i="35"/>
  <c r="J10" i="35"/>
  <c r="D10" i="35"/>
  <c r="D9" i="35"/>
  <c r="H8" i="35"/>
  <c r="D8" i="35"/>
  <c r="D7" i="35"/>
  <c r="D6" i="35"/>
  <c r="W111" i="35" l="1"/>
  <c r="J120" i="35" s="1"/>
  <c r="J122" i="19" s="1"/>
  <c r="X100" i="35"/>
  <c r="N97" i="35"/>
  <c r="N99" i="19" s="1"/>
  <c r="AC92" i="35"/>
  <c r="N90" i="35"/>
  <c r="I92" i="35"/>
  <c r="I10" i="35" s="1"/>
  <c r="G39" i="35"/>
  <c r="G45" i="35" s="1"/>
  <c r="G61" i="35"/>
  <c r="G8" i="35" s="1"/>
  <c r="I71" i="35"/>
  <c r="X92" i="35"/>
  <c r="V39" i="35"/>
  <c r="V111" i="35" s="1"/>
  <c r="J119" i="35" s="1"/>
  <c r="J39" i="35"/>
  <c r="J6" i="35" s="1"/>
  <c r="AC98" i="35"/>
  <c r="N98" i="35" s="1"/>
  <c r="N100" i="19" s="1"/>
  <c r="T111" i="35"/>
  <c r="J132" i="35" s="1"/>
  <c r="I56" i="35"/>
  <c r="I84" i="35"/>
  <c r="I9" i="35" s="1"/>
  <c r="L92" i="35"/>
  <c r="M92" i="35" s="1"/>
  <c r="L100" i="35"/>
  <c r="H39" i="35"/>
  <c r="H107" i="35" s="1"/>
  <c r="I29" i="35"/>
  <c r="AA111" i="35"/>
  <c r="U111" i="35"/>
  <c r="J131" i="35" s="1"/>
  <c r="Z111" i="35"/>
  <c r="Y111" i="35"/>
  <c r="J122" i="35" s="1"/>
  <c r="J111" i="35"/>
  <c r="J13" i="35" s="1"/>
  <c r="M100" i="35"/>
  <c r="L11" i="35"/>
  <c r="M11" i="35" s="1"/>
  <c r="H46" i="35"/>
  <c r="H6" i="35"/>
  <c r="G107" i="35"/>
  <c r="G44" i="35"/>
  <c r="G47" i="35"/>
  <c r="L10" i="35"/>
  <c r="M10" i="35" s="1"/>
  <c r="I61" i="35"/>
  <c r="I8" i="35" s="1"/>
  <c r="I34" i="35"/>
  <c r="M97" i="35"/>
  <c r="I28" i="35"/>
  <c r="M89" i="35"/>
  <c r="G84" i="35"/>
  <c r="G9" i="35" s="1"/>
  <c r="H84" i="35"/>
  <c r="H9" i="35" s="1"/>
  <c r="I122" i="19"/>
  <c r="C36" i="34"/>
  <c r="D29" i="34"/>
  <c r="D36" i="34" s="1"/>
  <c r="I61" i="19"/>
  <c r="I60" i="19"/>
  <c r="L84" i="19"/>
  <c r="I84" i="19"/>
  <c r="L83" i="19"/>
  <c r="I83" i="19"/>
  <c r="M84" i="19" l="1"/>
  <c r="X82" i="35"/>
  <c r="AC82" i="35" s="1"/>
  <c r="N82" i="35" s="1"/>
  <c r="N84" i="19" s="1"/>
  <c r="G6" i="35"/>
  <c r="G46" i="35"/>
  <c r="I46" i="35" s="1"/>
  <c r="H48" i="35"/>
  <c r="M83" i="19"/>
  <c r="X81" i="35"/>
  <c r="G48" i="35"/>
  <c r="H47" i="35"/>
  <c r="J123" i="35"/>
  <c r="J125" i="19" s="1"/>
  <c r="L120" i="35"/>
  <c r="L119" i="35"/>
  <c r="J121" i="19"/>
  <c r="L122" i="35"/>
  <c r="J124" i="19"/>
  <c r="L123" i="35"/>
  <c r="L131" i="35"/>
  <c r="J133" i="19"/>
  <c r="L132" i="35"/>
  <c r="J134" i="19"/>
  <c r="N92" i="35"/>
  <c r="N10" i="35" s="1"/>
  <c r="N92" i="19"/>
  <c r="N100" i="35"/>
  <c r="N11" i="35" s="1"/>
  <c r="AC100" i="35"/>
  <c r="H44" i="35"/>
  <c r="I48" i="35"/>
  <c r="H45" i="35"/>
  <c r="H109" i="35"/>
  <c r="I39" i="35"/>
  <c r="I6" i="35" s="1"/>
  <c r="I47" i="35"/>
  <c r="G109" i="35"/>
  <c r="I107" i="35"/>
  <c r="I109" i="35" s="1"/>
  <c r="G51" i="35"/>
  <c r="G7" i="35" s="1"/>
  <c r="I44" i="35"/>
  <c r="B23" i="32"/>
  <c r="K81" i="35" l="1"/>
  <c r="L81" i="35" s="1"/>
  <c r="M81" i="35" s="1"/>
  <c r="AC81" i="35"/>
  <c r="N81" i="35" s="1"/>
  <c r="N83" i="19" s="1"/>
  <c r="J136" i="35"/>
  <c r="L136" i="35"/>
  <c r="N136" i="35" s="1"/>
  <c r="I45" i="35"/>
  <c r="I51" i="35"/>
  <c r="I7" i="35" s="1"/>
  <c r="H51" i="35"/>
  <c r="H7" i="35" s="1"/>
  <c r="H12" i="35"/>
  <c r="I111" i="35"/>
  <c r="I13" i="35" s="1"/>
  <c r="I12" i="35"/>
  <c r="G111" i="35"/>
  <c r="G13" i="35" s="1"/>
  <c r="G12" i="35"/>
  <c r="C4" i="33"/>
  <c r="B4" i="33"/>
  <c r="C3" i="33"/>
  <c r="B3" i="33"/>
  <c r="E8" i="33"/>
  <c r="C8" i="33"/>
  <c r="E7" i="33"/>
  <c r="C7" i="33"/>
  <c r="I47" i="32"/>
  <c r="H47" i="32"/>
  <c r="G47" i="32"/>
  <c r="F47" i="32"/>
  <c r="E47" i="32"/>
  <c r="D47" i="32"/>
  <c r="C47" i="32"/>
  <c r="B47" i="32"/>
  <c r="D32" i="32"/>
  <c r="C32" i="32"/>
  <c r="B32" i="32"/>
  <c r="D23" i="32"/>
  <c r="C23" i="32"/>
  <c r="H111" i="35" l="1"/>
  <c r="F107" i="35" s="1"/>
  <c r="E9" i="33"/>
  <c r="C9" i="33"/>
  <c r="D37" i="19"/>
  <c r="H13" i="35" l="1"/>
  <c r="G30" i="19"/>
  <c r="G27" i="19" l="1"/>
  <c r="G73" i="19" l="1"/>
  <c r="G76" i="19"/>
  <c r="G72" i="19"/>
  <c r="G59" i="19"/>
  <c r="I59" i="19" s="1"/>
  <c r="G58" i="19"/>
  <c r="I58" i="19" s="1"/>
  <c r="G28" i="19"/>
  <c r="G34" i="19" l="1"/>
  <c r="G33" i="19"/>
  <c r="G32" i="19"/>
  <c r="G31" i="19"/>
  <c r="K138" i="19" l="1"/>
  <c r="J138" i="19"/>
  <c r="I138" i="19"/>
  <c r="N94" i="19" l="1"/>
  <c r="L35" i="19" l="1"/>
  <c r="I35" i="19"/>
  <c r="M35" i="19" l="1"/>
  <c r="X34" i="35"/>
  <c r="D13" i="19"/>
  <c r="D12" i="19"/>
  <c r="D11" i="19"/>
  <c r="D10" i="19"/>
  <c r="D9" i="19"/>
  <c r="K34" i="35" l="1"/>
  <c r="L34" i="35" s="1"/>
  <c r="M34" i="35" s="1"/>
  <c r="AC34" i="35"/>
  <c r="N34" i="35" s="1"/>
  <c r="L137" i="19"/>
  <c r="L136" i="19"/>
  <c r="L134" i="19"/>
  <c r="L133" i="19"/>
  <c r="L131" i="19"/>
  <c r="L130" i="19"/>
  <c r="L128" i="19"/>
  <c r="L127" i="19"/>
  <c r="L125" i="19"/>
  <c r="L124" i="19"/>
  <c r="L122" i="19"/>
  <c r="L121" i="19"/>
  <c r="D8" i="19"/>
  <c r="D7" i="19"/>
  <c r="D6" i="19"/>
  <c r="L138" i="19" l="1"/>
  <c r="K111" i="19"/>
  <c r="J111" i="19"/>
  <c r="F110" i="19"/>
  <c r="L110" i="19"/>
  <c r="M110" i="19" s="1"/>
  <c r="I110" i="19"/>
  <c r="I101" i="19"/>
  <c r="I100" i="19"/>
  <c r="I99" i="19"/>
  <c r="I93" i="19"/>
  <c r="I92" i="19"/>
  <c r="I91" i="19"/>
  <c r="I85" i="19"/>
  <c r="I82" i="19"/>
  <c r="I81" i="19"/>
  <c r="I80" i="19"/>
  <c r="I79" i="19"/>
  <c r="I78" i="19"/>
  <c r="I77" i="19"/>
  <c r="I76" i="19"/>
  <c r="I75" i="19"/>
  <c r="I74" i="19"/>
  <c r="I73" i="19"/>
  <c r="I72" i="19"/>
  <c r="I71" i="19"/>
  <c r="I70" i="19"/>
  <c r="I69" i="19"/>
  <c r="I68" i="19"/>
  <c r="L101" i="19"/>
  <c r="M101" i="19" s="1"/>
  <c r="L100" i="19"/>
  <c r="M100" i="19" s="1"/>
  <c r="L93" i="19"/>
  <c r="M93" i="19" s="1"/>
  <c r="L92" i="19"/>
  <c r="M92" i="19" s="1"/>
  <c r="L80" i="19"/>
  <c r="L79" i="19"/>
  <c r="L78" i="19"/>
  <c r="L77" i="19"/>
  <c r="L76" i="19"/>
  <c r="L75" i="19"/>
  <c r="L74" i="19"/>
  <c r="M74" i="19" s="1"/>
  <c r="L73" i="19"/>
  <c r="L72" i="19"/>
  <c r="L71" i="19"/>
  <c r="L70" i="19"/>
  <c r="L59" i="19"/>
  <c r="L60" i="19"/>
  <c r="L61" i="19"/>
  <c r="M61" i="19" s="1"/>
  <c r="I62" i="19"/>
  <c r="L62" i="19"/>
  <c r="M62" i="19" s="1"/>
  <c r="L47" i="19"/>
  <c r="X45" i="35" s="1"/>
  <c r="L48" i="19"/>
  <c r="X46" i="35" s="1"/>
  <c r="L49" i="19"/>
  <c r="X47" i="35" s="1"/>
  <c r="L50" i="19"/>
  <c r="X48" i="35" s="1"/>
  <c r="I51" i="19"/>
  <c r="L51" i="19"/>
  <c r="M51" i="19" s="1"/>
  <c r="I52" i="19"/>
  <c r="L52" i="19"/>
  <c r="M52" i="19" s="1"/>
  <c r="I27" i="19"/>
  <c r="I29" i="19" s="1"/>
  <c r="I40" i="19"/>
  <c r="I38" i="19"/>
  <c r="I37" i="19"/>
  <c r="I34" i="19"/>
  <c r="I33" i="19"/>
  <c r="I32" i="19"/>
  <c r="I31" i="19"/>
  <c r="I30" i="19"/>
  <c r="I28" i="19"/>
  <c r="G86" i="19"/>
  <c r="G9" i="19" s="1"/>
  <c r="L85" i="19"/>
  <c r="M85" i="19" s="1"/>
  <c r="L82" i="19"/>
  <c r="L81" i="19"/>
  <c r="L40" i="19"/>
  <c r="M40" i="19" s="1"/>
  <c r="L38" i="19"/>
  <c r="L37" i="19"/>
  <c r="L34" i="19"/>
  <c r="L33" i="19"/>
  <c r="J94" i="19"/>
  <c r="J10" i="19" s="1"/>
  <c r="K94" i="19"/>
  <c r="K10" i="19" s="1"/>
  <c r="N102" i="19"/>
  <c r="N11" i="19" s="1"/>
  <c r="L27" i="19"/>
  <c r="L28" i="19"/>
  <c r="L30" i="19"/>
  <c r="L31" i="19"/>
  <c r="L32" i="19"/>
  <c r="L46" i="19"/>
  <c r="X44" i="35" s="1"/>
  <c r="J6" i="19"/>
  <c r="G63" i="19"/>
  <c r="G8" i="19" s="1"/>
  <c r="G94" i="19"/>
  <c r="G10" i="19" s="1"/>
  <c r="G102" i="19"/>
  <c r="G11" i="19" s="1"/>
  <c r="H63" i="19"/>
  <c r="H8" i="19" s="1"/>
  <c r="H86" i="19"/>
  <c r="H9" i="19" s="1"/>
  <c r="H94" i="19"/>
  <c r="H10" i="19" s="1"/>
  <c r="H102" i="19"/>
  <c r="H11" i="19" s="1"/>
  <c r="L58" i="19"/>
  <c r="L69" i="19"/>
  <c r="L109" i="19"/>
  <c r="X107" i="35" s="1"/>
  <c r="K102" i="19"/>
  <c r="K11" i="19" s="1"/>
  <c r="J102" i="19"/>
  <c r="J11" i="19" s="1"/>
  <c r="L99" i="19"/>
  <c r="M99" i="19" s="1"/>
  <c r="L91" i="19"/>
  <c r="M91" i="19" s="1"/>
  <c r="L68" i="19"/>
  <c r="K86" i="19"/>
  <c r="K9" i="19" s="1"/>
  <c r="J86" i="19"/>
  <c r="J9" i="19" s="1"/>
  <c r="K63" i="19"/>
  <c r="K8" i="19" s="1"/>
  <c r="J63" i="19"/>
  <c r="J8" i="19" s="1"/>
  <c r="K53" i="19"/>
  <c r="K7" i="19" s="1"/>
  <c r="J53" i="19"/>
  <c r="J7" i="19" s="1"/>
  <c r="K6" i="19"/>
  <c r="L39" i="19" l="1"/>
  <c r="M39" i="19" s="1"/>
  <c r="I39" i="19"/>
  <c r="I41" i="19"/>
  <c r="L29" i="19"/>
  <c r="M58" i="19"/>
  <c r="X56" i="35"/>
  <c r="M37" i="19"/>
  <c r="X36" i="35"/>
  <c r="M60" i="19"/>
  <c r="X58" i="35"/>
  <c r="M68" i="19"/>
  <c r="X66" i="35"/>
  <c r="M38" i="19"/>
  <c r="X37" i="35"/>
  <c r="K48" i="35"/>
  <c r="L48" i="35" s="1"/>
  <c r="M48" i="35" s="1"/>
  <c r="AC48" i="35"/>
  <c r="N48" i="35" s="1"/>
  <c r="N50" i="19" s="1"/>
  <c r="M59" i="19"/>
  <c r="X57" i="35"/>
  <c r="M73" i="19"/>
  <c r="X71" i="35"/>
  <c r="M77" i="19"/>
  <c r="X75" i="35"/>
  <c r="K107" i="35"/>
  <c r="X109" i="35"/>
  <c r="AC107" i="35"/>
  <c r="M32" i="19"/>
  <c r="X31" i="35"/>
  <c r="M27" i="19"/>
  <c r="X27" i="35"/>
  <c r="M33" i="19"/>
  <c r="X32" i="35"/>
  <c r="K47" i="35"/>
  <c r="L47" i="35" s="1"/>
  <c r="M47" i="35" s="1"/>
  <c r="AC47" i="35"/>
  <c r="N47" i="35" s="1"/>
  <c r="N49" i="19" s="1"/>
  <c r="M70" i="19"/>
  <c r="X68" i="35"/>
  <c r="X72" i="35"/>
  <c r="M78" i="19"/>
  <c r="X76" i="35"/>
  <c r="M30" i="19"/>
  <c r="X29" i="35"/>
  <c r="M82" i="19"/>
  <c r="X80" i="35"/>
  <c r="K45" i="35"/>
  <c r="L45" i="35" s="1"/>
  <c r="M45" i="35" s="1"/>
  <c r="AC45" i="35"/>
  <c r="N45" i="35" s="1"/>
  <c r="N47" i="19" s="1"/>
  <c r="M72" i="19"/>
  <c r="X70" i="35"/>
  <c r="M76" i="19"/>
  <c r="X74" i="35"/>
  <c r="M80" i="19"/>
  <c r="X78" i="35"/>
  <c r="K44" i="35"/>
  <c r="AC44" i="35"/>
  <c r="X51" i="35"/>
  <c r="M28" i="19"/>
  <c r="X28" i="35"/>
  <c r="M69" i="19"/>
  <c r="X67" i="35"/>
  <c r="M31" i="19"/>
  <c r="X30" i="35"/>
  <c r="M34" i="19"/>
  <c r="X33" i="35"/>
  <c r="M81" i="19"/>
  <c r="X79" i="35"/>
  <c r="K46" i="35"/>
  <c r="L46" i="35" s="1"/>
  <c r="M46" i="35" s="1"/>
  <c r="AC46" i="35"/>
  <c r="N46" i="35" s="1"/>
  <c r="N48" i="19" s="1"/>
  <c r="M71" i="19"/>
  <c r="X69" i="35"/>
  <c r="M75" i="19"/>
  <c r="X73" i="35"/>
  <c r="M79" i="19"/>
  <c r="X77" i="35"/>
  <c r="H6" i="19"/>
  <c r="H111" i="19"/>
  <c r="H12" i="19" s="1"/>
  <c r="M48" i="19"/>
  <c r="M47" i="19"/>
  <c r="M46" i="19"/>
  <c r="M50" i="19"/>
  <c r="M49" i="19"/>
  <c r="G6" i="19"/>
  <c r="J12" i="19"/>
  <c r="J113" i="19"/>
  <c r="J13" i="19" s="1"/>
  <c r="K12" i="19"/>
  <c r="K113" i="19"/>
  <c r="K13" i="19" s="1"/>
  <c r="I86" i="19"/>
  <c r="I9" i="19" s="1"/>
  <c r="I94" i="19"/>
  <c r="I10" i="19" s="1"/>
  <c r="N10" i="19"/>
  <c r="I63" i="19"/>
  <c r="I8" i="19" s="1"/>
  <c r="I6" i="19"/>
  <c r="L53" i="19"/>
  <c r="I102" i="19"/>
  <c r="L86" i="19"/>
  <c r="L111" i="19"/>
  <c r="L12" i="19" s="1"/>
  <c r="L63" i="19"/>
  <c r="M63" i="19" s="1"/>
  <c r="L94" i="19"/>
  <c r="L10" i="19" s="1"/>
  <c r="M10" i="19" s="1"/>
  <c r="L102" i="19"/>
  <c r="M29" i="19" l="1"/>
  <c r="L41" i="19"/>
  <c r="L6" i="19" s="1"/>
  <c r="K69" i="35"/>
  <c r="L69" i="35" s="1"/>
  <c r="M69" i="35" s="1"/>
  <c r="AC69" i="35"/>
  <c r="N69" i="35" s="1"/>
  <c r="N71" i="19" s="1"/>
  <c r="K30" i="35"/>
  <c r="L30" i="35" s="1"/>
  <c r="M30" i="35" s="1"/>
  <c r="AC30" i="35"/>
  <c r="N30" i="35" s="1"/>
  <c r="K51" i="35"/>
  <c r="K7" i="35" s="1"/>
  <c r="L44" i="35"/>
  <c r="K71" i="35"/>
  <c r="L71" i="35" s="1"/>
  <c r="M71" i="35" s="1"/>
  <c r="AC71" i="35"/>
  <c r="N71" i="35" s="1"/>
  <c r="N73" i="19" s="1"/>
  <c r="K66" i="35"/>
  <c r="X84" i="35"/>
  <c r="AC66" i="35"/>
  <c r="K70" i="35"/>
  <c r="L70" i="35" s="1"/>
  <c r="M70" i="35" s="1"/>
  <c r="AC70" i="35"/>
  <c r="N70" i="35" s="1"/>
  <c r="N72" i="19" s="1"/>
  <c r="K80" i="35"/>
  <c r="L80" i="35" s="1"/>
  <c r="M80" i="35" s="1"/>
  <c r="AC80" i="35"/>
  <c r="N80" i="35" s="1"/>
  <c r="N82" i="19" s="1"/>
  <c r="K76" i="35"/>
  <c r="L76" i="35" s="1"/>
  <c r="M76" i="35" s="1"/>
  <c r="AC76" i="35"/>
  <c r="N76" i="35" s="1"/>
  <c r="N78" i="19" s="1"/>
  <c r="K68" i="35"/>
  <c r="L68" i="35" s="1"/>
  <c r="M68" i="35" s="1"/>
  <c r="AC68" i="35"/>
  <c r="N68" i="35" s="1"/>
  <c r="N70" i="19" s="1"/>
  <c r="K31" i="35"/>
  <c r="L31" i="35" s="1"/>
  <c r="M31" i="35" s="1"/>
  <c r="AC31" i="35"/>
  <c r="N31" i="35" s="1"/>
  <c r="L107" i="35"/>
  <c r="K109" i="35"/>
  <c r="K73" i="35"/>
  <c r="L73" i="35" s="1"/>
  <c r="M73" i="35" s="1"/>
  <c r="AC73" i="35"/>
  <c r="N73" i="35" s="1"/>
  <c r="N75" i="19" s="1"/>
  <c r="K33" i="35"/>
  <c r="L33" i="35" s="1"/>
  <c r="M33" i="35" s="1"/>
  <c r="AC33" i="35"/>
  <c r="N33" i="35" s="1"/>
  <c r="K67" i="35"/>
  <c r="L67" i="35" s="1"/>
  <c r="M67" i="35" s="1"/>
  <c r="AC67" i="35"/>
  <c r="N67" i="35" s="1"/>
  <c r="N69" i="19" s="1"/>
  <c r="K75" i="35"/>
  <c r="L75" i="35" s="1"/>
  <c r="M75" i="35" s="1"/>
  <c r="AC75" i="35"/>
  <c r="N75" i="35" s="1"/>
  <c r="N77" i="19" s="1"/>
  <c r="K57" i="35"/>
  <c r="L57" i="35" s="1"/>
  <c r="M57" i="35" s="1"/>
  <c r="AC57" i="35"/>
  <c r="N57" i="35" s="1"/>
  <c r="N59" i="19" s="1"/>
  <c r="K37" i="35"/>
  <c r="L37" i="35" s="1"/>
  <c r="M37" i="35" s="1"/>
  <c r="AC37" i="35"/>
  <c r="N37" i="35" s="1"/>
  <c r="K58" i="35"/>
  <c r="L58" i="35" s="1"/>
  <c r="M58" i="35" s="1"/>
  <c r="AC58" i="35"/>
  <c r="N58" i="35" s="1"/>
  <c r="N60" i="19" s="1"/>
  <c r="K56" i="35"/>
  <c r="X61" i="35"/>
  <c r="AC56" i="35"/>
  <c r="K77" i="35"/>
  <c r="L77" i="35" s="1"/>
  <c r="M77" i="35" s="1"/>
  <c r="AC77" i="35"/>
  <c r="N77" i="35" s="1"/>
  <c r="N79" i="19" s="1"/>
  <c r="K79" i="35"/>
  <c r="L79" i="35" s="1"/>
  <c r="M79" i="35" s="1"/>
  <c r="AC79" i="35"/>
  <c r="N79" i="35" s="1"/>
  <c r="N81" i="19" s="1"/>
  <c r="K28" i="35"/>
  <c r="L28" i="35" s="1"/>
  <c r="M28" i="35" s="1"/>
  <c r="AC28" i="35"/>
  <c r="N28" i="35" s="1"/>
  <c r="K36" i="35"/>
  <c r="L36" i="35" s="1"/>
  <c r="M36" i="35" s="1"/>
  <c r="AC36" i="35"/>
  <c r="N36" i="35" s="1"/>
  <c r="K78" i="35"/>
  <c r="L78" i="35" s="1"/>
  <c r="M78" i="35" s="1"/>
  <c r="AC78" i="35"/>
  <c r="N78" i="35" s="1"/>
  <c r="N80" i="19" s="1"/>
  <c r="K32" i="35"/>
  <c r="L32" i="35" s="1"/>
  <c r="M32" i="35" s="1"/>
  <c r="AC32" i="35"/>
  <c r="N32" i="35" s="1"/>
  <c r="N44" i="35"/>
  <c r="AC51" i="35"/>
  <c r="K74" i="35"/>
  <c r="L74" i="35" s="1"/>
  <c r="M74" i="35" s="1"/>
  <c r="AC74" i="35"/>
  <c r="N74" i="35" s="1"/>
  <c r="N76" i="19" s="1"/>
  <c r="K29" i="35"/>
  <c r="L29" i="35" s="1"/>
  <c r="M29" i="35" s="1"/>
  <c r="AC29" i="35"/>
  <c r="N29" i="35" s="1"/>
  <c r="K72" i="35"/>
  <c r="L72" i="35" s="1"/>
  <c r="M72" i="35" s="1"/>
  <c r="AC72" i="35"/>
  <c r="N72" i="35" s="1"/>
  <c r="N74" i="19" s="1"/>
  <c r="K27" i="35"/>
  <c r="AC27" i="35"/>
  <c r="X39" i="35"/>
  <c r="N107" i="35"/>
  <c r="AC109" i="35"/>
  <c r="M109" i="19"/>
  <c r="I47" i="19"/>
  <c r="H53" i="19"/>
  <c r="M53" i="19" s="1"/>
  <c r="I49" i="19"/>
  <c r="I50" i="19"/>
  <c r="I48" i="19"/>
  <c r="I46" i="19"/>
  <c r="G53" i="19"/>
  <c r="G7" i="19" s="1"/>
  <c r="I109" i="19"/>
  <c r="I111" i="19" s="1"/>
  <c r="I12" i="19" s="1"/>
  <c r="G111" i="19"/>
  <c r="M12" i="19"/>
  <c r="I11" i="19"/>
  <c r="M102" i="19"/>
  <c r="L113" i="19"/>
  <c r="L13" i="19" s="1"/>
  <c r="L11" i="19"/>
  <c r="M11" i="19" s="1"/>
  <c r="M86" i="19"/>
  <c r="L9" i="19"/>
  <c r="M9" i="19" s="1"/>
  <c r="L7" i="19"/>
  <c r="M41" i="19"/>
  <c r="M94" i="19"/>
  <c r="L8" i="19"/>
  <c r="M8" i="19" s="1"/>
  <c r="M111" i="19"/>
  <c r="M6" i="19"/>
  <c r="X111" i="35" l="1"/>
  <c r="N109" i="35"/>
  <c r="N109" i="19"/>
  <c r="N111" i="19" s="1"/>
  <c r="AC61" i="35"/>
  <c r="N56" i="35"/>
  <c r="K12" i="35"/>
  <c r="N66" i="35"/>
  <c r="AC84" i="35"/>
  <c r="N27" i="35"/>
  <c r="AC39" i="35"/>
  <c r="K61" i="35"/>
  <c r="K8" i="35" s="1"/>
  <c r="L56" i="35"/>
  <c r="L109" i="35"/>
  <c r="M107" i="35"/>
  <c r="L51" i="35"/>
  <c r="M44" i="35"/>
  <c r="K39" i="35"/>
  <c r="K6" i="35" s="1"/>
  <c r="L27" i="35"/>
  <c r="N46" i="19"/>
  <c r="N53" i="19" s="1"/>
  <c r="N7" i="19" s="1"/>
  <c r="N51" i="35"/>
  <c r="N7" i="35" s="1"/>
  <c r="K84" i="35"/>
  <c r="K9" i="35" s="1"/>
  <c r="L66" i="35"/>
  <c r="F12" i="33"/>
  <c r="E16" i="33" s="1"/>
  <c r="B14" i="19"/>
  <c r="I53" i="19"/>
  <c r="I7" i="19" s="1"/>
  <c r="H7" i="19"/>
  <c r="M7" i="19" s="1"/>
  <c r="H113" i="19"/>
  <c r="M113" i="19" s="1"/>
  <c r="G113" i="19"/>
  <c r="G13" i="19" s="1"/>
  <c r="G12" i="19"/>
  <c r="AC111" i="35" l="1"/>
  <c r="AC112" i="35" s="1"/>
  <c r="M56" i="35"/>
  <c r="L61" i="35"/>
  <c r="N61" i="35"/>
  <c r="N8" i="35" s="1"/>
  <c r="N58" i="19"/>
  <c r="N63" i="19" s="1"/>
  <c r="N8" i="19" s="1"/>
  <c r="M66" i="35"/>
  <c r="L84" i="35"/>
  <c r="M27" i="35"/>
  <c r="L39" i="35"/>
  <c r="L7" i="35"/>
  <c r="M7" i="35" s="1"/>
  <c r="M51" i="35"/>
  <c r="N68" i="19"/>
  <c r="N86" i="19" s="1"/>
  <c r="N9" i="19" s="1"/>
  <c r="N84" i="35"/>
  <c r="N9" i="35" s="1"/>
  <c r="K111" i="35"/>
  <c r="K13" i="35" s="1"/>
  <c r="N12" i="19"/>
  <c r="L12" i="35"/>
  <c r="M12" i="35" s="1"/>
  <c r="M109" i="35"/>
  <c r="N6" i="19"/>
  <c r="N39" i="35"/>
  <c r="N6" i="35" s="1"/>
  <c r="N12" i="35"/>
  <c r="C12" i="33"/>
  <c r="C15" i="33" s="1"/>
  <c r="B50" i="32"/>
  <c r="I113" i="19"/>
  <c r="I13" i="19" s="1"/>
  <c r="H13" i="19"/>
  <c r="D12" i="33" s="1"/>
  <c r="C16" i="33" s="1"/>
  <c r="F109" i="19"/>
  <c r="B15" i="19"/>
  <c r="N113" i="19" l="1"/>
  <c r="N13" i="19" s="1"/>
  <c r="M138" i="19" s="1"/>
  <c r="N138" i="19" s="1"/>
  <c r="N111" i="35"/>
  <c r="N13" i="35" s="1"/>
  <c r="L9" i="35"/>
  <c r="M9" i="35" s="1"/>
  <c r="M84" i="35"/>
  <c r="M61" i="35"/>
  <c r="L8" i="35"/>
  <c r="M8" i="35" s="1"/>
  <c r="L6" i="35"/>
  <c r="M6" i="35" s="1"/>
  <c r="M39" i="35"/>
  <c r="L111" i="35"/>
  <c r="D16" i="33"/>
  <c r="D15" i="33"/>
  <c r="C18" i="33"/>
  <c r="D18" i="33" s="1"/>
  <c r="M13" i="19"/>
  <c r="L13" i="35" l="1"/>
  <c r="M111" i="35"/>
  <c r="E12" i="33"/>
  <c r="E15" i="33" s="1"/>
  <c r="C50" i="32"/>
  <c r="F15" i="33" l="1"/>
  <c r="F16" i="33"/>
  <c r="E18" i="33"/>
  <c r="F18" i="33" s="1"/>
  <c r="B14" i="35"/>
  <c r="B15" i="35" s="1"/>
  <c r="M13" i="35"/>
</calcChain>
</file>

<file path=xl/sharedStrings.xml><?xml version="1.0" encoding="utf-8"?>
<sst xmlns="http://schemas.openxmlformats.org/spreadsheetml/2006/main" count="620" uniqueCount="264">
  <si>
    <t>FY 2021-22 HSGP Exhibit C</t>
  </si>
  <si>
    <t>Program Budget and Fiscal Reporting Template</t>
  </si>
  <si>
    <t>REPORTS</t>
  </si>
  <si>
    <t>REPORT PERIOD</t>
  </si>
  <si>
    <t>REPORT DEADLINE</t>
  </si>
  <si>
    <t>Mid-Year Program and Fiscal Status Reports</t>
  </si>
  <si>
    <t>7/1/2021 – 12/31/2021</t>
  </si>
  <si>
    <t>Year-End Program and Fiscal Status Reports</t>
  </si>
  <si>
    <t>1/1/2022 – 6/30/2022</t>
  </si>
  <si>
    <t>Overview</t>
  </si>
  <si>
    <t>Beginning in FY 2021-22,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</si>
  <si>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</si>
  <si>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</si>
  <si>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</si>
  <si>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</si>
  <si>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</si>
  <si>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</si>
  <si>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</si>
  <si>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</si>
  <si>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</si>
  <si>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</si>
  <si>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</si>
  <si>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</si>
  <si>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</si>
  <si>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SECTION III: NON-CITY PROGRAM FUNDING</t>
  </si>
  <si>
    <r>
      <t xml:space="preserve">Provide a brief description of non-City sources of funding included in your Total Program Budget. </t>
    </r>
    <r>
      <rPr>
        <u/>
        <sz val="10"/>
        <rFont val="Arial"/>
        <family val="2"/>
      </rPr>
      <t>For Government Grants</t>
    </r>
    <r>
      <rPr>
        <sz val="10"/>
        <rFont val="Arial"/>
        <family val="2"/>
      </rPr>
      <t>, indicate the type of funding source (Federal, State, or County/Local). Enter the Projected/Actual amounts in Columns I-K as appropriate.</t>
    </r>
  </si>
  <si>
    <r>
      <rPr>
        <b/>
        <i/>
        <sz val="10"/>
        <rFont val="Arial"/>
        <family val="2"/>
      </rPr>
      <t>When entering your Budget:</t>
    </r>
    <r>
      <rPr>
        <sz val="10"/>
        <rFont val="Arial"/>
        <family val="2"/>
      </rPr>
      <t xml:space="preserve"> "Total Non-City Funding" in column I of this section should equal the total "Non-City Program Budget" in column I of Section II.</t>
    </r>
  </si>
  <si>
    <r>
      <rPr>
        <b/>
        <i/>
        <sz val="10"/>
        <rFont val="Arial"/>
        <family val="2"/>
      </rPr>
      <t>Year-End Only:</t>
    </r>
    <r>
      <rPr>
        <sz val="10"/>
        <rFont val="Arial"/>
        <family val="2"/>
      </rPr>
      <t xml:space="preserve"> The "Year-End Actual Non-City Funding" total (Column L, Item 7) should equal the difference between the total “Year-End Program Expend" and "Year-End SM Expend" ”in Section II of the Program Budget &amp; Fiscal Report tab. If not, an error will populate in the “Year-End Non-City Funding Variance" cell (Column N, Item 7) and you will need to correct the discrepancy.</t>
    </r>
  </si>
  <si>
    <t>PARTICIPANTS &amp; 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</si>
  <si>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</si>
  <si>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</si>
  <si>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</si>
  <si>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AGENCY FUNDING SOURCES</t>
  </si>
  <si>
    <r>
      <t xml:space="preserve">List funding sources for the </t>
    </r>
    <r>
      <rPr>
        <b/>
        <sz val="10"/>
        <rFont val="Arial"/>
        <family val="2"/>
      </rPr>
      <t>agency as a whole</t>
    </r>
    <r>
      <rPr>
        <sz val="10"/>
        <rFont val="Arial"/>
        <family val="2"/>
      </rPr>
      <t xml:space="preserve"> for FY 2020-21 (Projected Actuals) and  FY 2021-22 (Budgeted). Where applicable, use the Program Impact column, to describe programatic impacts of funding sources or changes therein. 
For Government Grants ONLY, indicate Type of funding source (Federal, State, or County/Local) 
</t>
    </r>
    <r>
      <rPr>
        <b/>
        <sz val="10"/>
        <rFont val="Arial"/>
        <family val="2"/>
      </rPr>
      <t>If you are submitting multiple program budgets, this tab will be the same for each program.</t>
    </r>
  </si>
  <si>
    <t>CITY OF SANTA MONICA</t>
  </si>
  <si>
    <t>FY 2021-22 PROGRAM BUDGET &amp; FISCAL REPORTING TEMPLATE</t>
  </si>
  <si>
    <t>SECTION I:  BUDGET SUMMARY</t>
  </si>
  <si>
    <t>TOTAL
PROGRAM
BUDGET</t>
  </si>
  <si>
    <t>SM GRANT
BUDGET</t>
  </si>
  <si>
    <t>NON-CITY PROGRAM BUDGET</t>
  </si>
  <si>
    <t>SM 
1st PERIOD EXPEND.</t>
  </si>
  <si>
    <t>SM  
2nd PERIOD EXPEND.</t>
  </si>
  <si>
    <t>SM TOTAL EXPEND.</t>
  </si>
  <si>
    <t>SM PERCENT EXPENDED</t>
  </si>
  <si>
    <t>YEAR-END
 TOTAL PROGRAM EXPEND.</t>
  </si>
  <si>
    <t>AGENCY NAME:</t>
  </si>
  <si>
    <t>WISE &amp; Healthy Aging</t>
  </si>
  <si>
    <t>PROGRAM NAME:</t>
  </si>
  <si>
    <t>Care Management</t>
  </si>
  <si>
    <t>REPORTING PERIOD:</t>
  </si>
  <si>
    <t>FY 2021-22 Program Budget: 7/1/21-6/30/22</t>
  </si>
  <si>
    <t>A. Total City Funds Disbursed to Date:</t>
  </si>
  <si>
    <t>B. Total City Funds Expended to Date:</t>
  </si>
  <si>
    <t>C. Cash Balance (Line A - Line B):</t>
  </si>
  <si>
    <t>Senior/Executive Management</t>
  </si>
  <si>
    <t>Federal</t>
  </si>
  <si>
    <t>Mid-Year Report (1st Period): 7/1/21 - 12/31/21</t>
  </si>
  <si>
    <t>Administrative Support</t>
  </si>
  <si>
    <t>State</t>
  </si>
  <si>
    <t>Year-End Report (2nd Period): 1/1/22 - 6/30/22</t>
  </si>
  <si>
    <t>Direct Service Provision/Program Staff</t>
  </si>
  <si>
    <t>County/Local</t>
  </si>
  <si>
    <t>SECTION II:  LINE ITEM DETAIL</t>
  </si>
  <si>
    <t>1A.  Staff Salaries</t>
  </si>
  <si>
    <t>List all paid program and administrative positions (both City and non-City funded) and complete all fields below.</t>
  </si>
  <si>
    <t>125-100</t>
  </si>
  <si>
    <t>125-152</t>
  </si>
  <si>
    <t>125-275</t>
  </si>
  <si>
    <t>125-285</t>
  </si>
  <si>
    <t>125-500</t>
  </si>
  <si>
    <t>125-904</t>
  </si>
  <si>
    <t>125-911</t>
  </si>
  <si>
    <t>125-933</t>
  </si>
  <si>
    <t>TOTAL</t>
  </si>
  <si>
    <t>Staff Name</t>
  </si>
  <si>
    <t>Title</t>
  </si>
  <si>
    <t>Position Classification</t>
  </si>
  <si>
    <t>FTE (Agency Wide)</t>
  </si>
  <si>
    <t>% FTE to Program</t>
  </si>
  <si>
    <t>Months Per Year</t>
  </si>
  <si>
    <t>Mid-year Agency Variance Report</t>
  </si>
  <si>
    <r>
      <t xml:space="preserve">Mid-year City Follow-up Comments
</t>
    </r>
    <r>
      <rPr>
        <b/>
        <u/>
        <sz val="8"/>
        <color rgb="FFFF0000"/>
        <rFont val="Arial"/>
        <family val="2"/>
      </rPr>
      <t>[DATE]</t>
    </r>
  </si>
  <si>
    <t>Year-end Agency Variance Report</t>
  </si>
  <si>
    <r>
      <t xml:space="preserve">Year-end City Follow-up Comments
</t>
    </r>
    <r>
      <rPr>
        <b/>
        <u/>
        <sz val="8"/>
        <color rgb="FFFF0000"/>
        <rFont val="Arial"/>
        <family val="2"/>
      </rPr>
      <t>[DATE]</t>
    </r>
  </si>
  <si>
    <t>Molly Davies</t>
  </si>
  <si>
    <t>Executive Vice President</t>
  </si>
  <si>
    <t>Budget Modification to allocate larger portion of salary to Santa Monica</t>
  </si>
  <si>
    <t>Nikki Davis</t>
  </si>
  <si>
    <t>VP of Program Administration</t>
  </si>
  <si>
    <t>Anat Louis</t>
  </si>
  <si>
    <t>Director of Case Management</t>
  </si>
  <si>
    <t>DeBlois, Lisa</t>
  </si>
  <si>
    <t>Care Coordinator</t>
  </si>
  <si>
    <t>Budget Modification to reduce amount of salary allocated to Santa Monica, covered by another grant</t>
  </si>
  <si>
    <t>Devorah Reznik</t>
  </si>
  <si>
    <t>Adriana Garrett</t>
  </si>
  <si>
    <t>Jenny Melgar</t>
  </si>
  <si>
    <t>Billie Wheeler</t>
  </si>
  <si>
    <t>late hire</t>
  </si>
  <si>
    <t>Pettett</t>
  </si>
  <si>
    <t>Daniel Sussman</t>
  </si>
  <si>
    <t>Clinical Director of Peer Counseling</t>
  </si>
  <si>
    <t>Budget Modification, employee terminated</t>
  </si>
  <si>
    <t>Garcia</t>
  </si>
  <si>
    <t>1A.  Staff Salaries TOTAL</t>
  </si>
  <si>
    <t>1B.  Staff Fringe Benefits</t>
  </si>
  <si>
    <t>List each fringe benefit as a percentage of total staff salaries listed above (FICA, SUI, Workers’ Compensation, Medical Insurance, Retirement, etc.).</t>
  </si>
  <si>
    <t>Description</t>
  </si>
  <si>
    <t>FICA -7.65% of Gross Salary</t>
  </si>
  <si>
    <t>Worker's Compensation - 1% of Gross Salary</t>
  </si>
  <si>
    <t>SUI - .85% based on direct charges</t>
  </si>
  <si>
    <t>Health Benefits - 3.75% of Gross Salary</t>
  </si>
  <si>
    <t>Retirement Benefits - .5% of Gross Salary</t>
  </si>
  <si>
    <t>1B.  Staff Fringe Benefits TOTAL</t>
  </si>
  <si>
    <t>2.  Consultant Services</t>
  </si>
  <si>
    <t>List each consultant to be funded. Include type of service, total budgeted expense, and any additional information to suport the use of consultants as opposed to staff or volunteers.</t>
  </si>
  <si>
    <t>Audit Fees - $443.93 /month  (rate 69.91 X 6.35  FTE =443.93)  X  12 months =5,327 annuually</t>
  </si>
  <si>
    <t>Payroll - $141.29/month (rate 22.25 X 6.35 FTE =141.29)  X 12 months = $1,695 annually</t>
  </si>
  <si>
    <t>Contractors General - Contracted IT services to support the program.  $2,317/year ($193.08/month x 12 months)</t>
  </si>
  <si>
    <t>2.  Consultant Services TOTAL</t>
  </si>
  <si>
    <t>3.  Operating Expenses</t>
  </si>
  <si>
    <t>List all operating expenses [e.g., space/rent expense, utilities, facilitiy maintenance, equipment, insurance, office supplies, printing, audit fees, travel, training, etc.].</t>
  </si>
  <si>
    <t>Rent - $10,174.00/month  X  9.63% X 12 months  (% based on square footage)</t>
  </si>
  <si>
    <t>Security - $1,078.25/month  X 9.63% X 12 months (% based on square footage)</t>
  </si>
  <si>
    <t>Janitorial - $1,950/month  X  9.63%, X 12 months   (% based on square footage)</t>
  </si>
  <si>
    <t>Local Travel - based on mileage reimbursement  (2,000 miles @ .58 per mile = 1,160)</t>
  </si>
  <si>
    <t xml:space="preserve">Insurance -  $268.16/month (rate $42.23 X 6.35 FTE= $268.16)   X  12 months = $3,218 annually </t>
  </si>
  <si>
    <t>Rate higher than projected</t>
  </si>
  <si>
    <t>Purchase of Service (Medical supplies, property clean up, in home care assistance) -   $50,394Year  ($4,199.50 /Month  X 12 months)</t>
  </si>
  <si>
    <t>Office Supplies -  $360/Year  ($30/Month x 12 months)</t>
  </si>
  <si>
    <t>Program Supplies -  $240/Year  ($20/Month x 12 months)</t>
  </si>
  <si>
    <t>Telephone -$339.03/Month (rate $53.39 X 6.35 FTE = $339.03)  X  12 months = $4,068 annually</t>
  </si>
  <si>
    <t>Postage &amp; Shipping - $300/Year    ($25/ Month  x 12 months)</t>
  </si>
  <si>
    <t>Copier Costs - $300/Year   ($25/Month  x 12 months)</t>
  </si>
  <si>
    <t>Staff Training - $3,000/Year (Staff &amp; Peer Counselor Volunteers)</t>
  </si>
  <si>
    <t>Publications &amp; Subscriptions -$1,080/Year   ($156.67 /Month X 12 months)</t>
  </si>
  <si>
    <t>Membership Dues</t>
  </si>
  <si>
    <t>Meeting Costs</t>
  </si>
  <si>
    <t>Hiring Fees -  $1,500/Year  ($125.00/Month x 12 months)</t>
  </si>
  <si>
    <t>3.  Operating Expenses TOTAL</t>
  </si>
  <si>
    <t>4.  Direct Client Support</t>
  </si>
  <si>
    <t>List any expenses associated with direct service provision, individual client support, scholarships, or stipends. Include estimated number of recipients.</t>
  </si>
  <si>
    <t>4.  Scholarships/Stipends TOTAL</t>
  </si>
  <si>
    <t>5.  Other</t>
  </si>
  <si>
    <t>List any program expense not appropriate for any of the above line items and provide justification.</t>
  </si>
  <si>
    <t>5.  Other TOTAL</t>
  </si>
  <si>
    <t>6.  Indirect Administrative Costs</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</si>
  <si>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</si>
  <si>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</si>
  <si>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</si>
  <si>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</si>
  <si>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</si>
  <si>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6.  Indirect Administrative Costs TOTAL</t>
  </si>
  <si>
    <t>7.   TOTAL BUDGET</t>
  </si>
  <si>
    <t>List non-City sources of funding included in your Total Program Budget. For Government Grants ONLY, indicate Type of funding source (Federal, State, or County/Local)</t>
  </si>
  <si>
    <r>
      <t xml:space="preserve">The total of the </t>
    </r>
    <r>
      <rPr>
        <b/>
        <sz val="11"/>
        <rFont val="Arial"/>
        <family val="2"/>
      </rPr>
      <t>PROJECTED NON-CITY FUNDING</t>
    </r>
    <r>
      <rPr>
        <sz val="11"/>
        <rFont val="Arial"/>
        <family val="2"/>
      </rPr>
      <t xml:space="preserve"> column below should match the total of the </t>
    </r>
    <r>
      <rPr>
        <b/>
        <sz val="11"/>
        <rFont val="Arial"/>
        <family val="2"/>
      </rPr>
      <t>NON-CITY PROGRAM BUDGET</t>
    </r>
    <r>
      <rPr>
        <sz val="11"/>
        <rFont val="Arial"/>
        <family val="2"/>
      </rPr>
      <t xml:space="preserve"> column in the sections above.</t>
    </r>
  </si>
  <si>
    <r>
      <rPr>
        <b/>
        <sz val="11"/>
        <rFont val="Arial"/>
        <family val="2"/>
      </rPr>
      <t>YEAR-END ACTUAL NON-CITY FUNDING</t>
    </r>
    <r>
      <rPr>
        <sz val="11"/>
        <rFont val="Arial"/>
        <family val="2"/>
      </rPr>
      <t xml:space="preserve"> should equal Year-End TOTAL PROGRAM </t>
    </r>
    <r>
      <rPr>
        <b/>
        <sz val="11"/>
        <rFont val="Arial"/>
        <family val="2"/>
      </rPr>
      <t>otal Program Expend. l</t>
    </r>
    <r>
      <rPr>
        <sz val="11"/>
        <rFont val="Arial"/>
        <family val="2"/>
      </rPr>
      <t xml:space="preserve">ess Year-End </t>
    </r>
    <r>
      <rPr>
        <b/>
        <sz val="11"/>
        <rFont val="Arial"/>
        <family val="2"/>
      </rPr>
      <t xml:space="preserve">SM Total Expend. </t>
    </r>
    <r>
      <rPr>
        <sz val="11"/>
        <rFont val="Arial"/>
        <family val="2"/>
      </rPr>
      <t>Above.</t>
    </r>
  </si>
  <si>
    <t>Source</t>
  </si>
  <si>
    <t>PROJECTED NON-CITY FUNDING</t>
  </si>
  <si>
    <t>1st PERIOD ACTUAL 
NON-CITY FUNDING</t>
  </si>
  <si>
    <t>2nd PERIOD ACTUAL 
NON-CITY FUNDING</t>
  </si>
  <si>
    <t>YEAR-END ACTUAL 
NON-CITY 
FUNDING</t>
  </si>
  <si>
    <t>YEAR-END
NON-CITY 
FUNDING
CHECK</t>
  </si>
  <si>
    <t>YEAR-END 
NON-CITY 
FUNDING VARIANCE</t>
  </si>
  <si>
    <t>1.  Government Grants</t>
  </si>
  <si>
    <t>County of Los Angeles</t>
  </si>
  <si>
    <t>SSP</t>
  </si>
  <si>
    <t>Linkages</t>
  </si>
  <si>
    <t>2.  Private/Corporate Grants</t>
  </si>
  <si>
    <t>Hoag</t>
  </si>
  <si>
    <t>Santa Monica Women's Bay &amp; SCAN</t>
  </si>
  <si>
    <t>3.  Individual Donations</t>
  </si>
  <si>
    <t>4.  Fundraising Events</t>
  </si>
  <si>
    <t>5.  Fees for Service</t>
  </si>
  <si>
    <t>Program Income</t>
  </si>
  <si>
    <t>6.  Other</t>
  </si>
  <si>
    <t>7.  TOTAL</t>
  </si>
  <si>
    <t>TOTAL NON-CITY PROGRAM FUNDING</t>
  </si>
  <si>
    <t>By submitting this report to the Housing and Human Services Division, I certify that this report is true, complete and accurate to the best of my knowledge and that all disbursements have been made</t>
  </si>
  <si>
    <t xml:space="preserve"> in compliance with the conditions of the Grantee Agreement and for the purposes indicated.</t>
  </si>
  <si>
    <t>Pettett, Andrea</t>
  </si>
  <si>
    <t>Garcia, Socorro</t>
  </si>
  <si>
    <t>Contractors General - Contracted IT services to support the program, including clinical supervision and GSWEC stipends.  $2,317/year ($193.08/month x 12 months)</t>
  </si>
  <si>
    <t>FY 2021-22 Program Participants and Demographics</t>
  </si>
  <si>
    <t>INDIVIDUALS RECEIVING CONTRACTED SERVICES
(Number of Program Participants)</t>
  </si>
  <si>
    <t>Projected Total</t>
  </si>
  <si>
    <t>Mid-Year Actuals</t>
  </si>
  <si>
    <t>Year-End Actuals</t>
  </si>
  <si>
    <t>Total Unduplicated PP</t>
  </si>
  <si>
    <t>Total SMPP</t>
  </si>
  <si>
    <t>Low-Income SMPP</t>
  </si>
  <si>
    <t>Homeless SMPP</t>
  </si>
  <si>
    <t>w/ Disabilities SMPP</t>
  </si>
  <si>
    <t>Served in Military SMPP</t>
  </si>
  <si>
    <t>Pico Neighborhood SMPP</t>
  </si>
  <si>
    <t>Primary Language not English SMPP</t>
  </si>
  <si>
    <t>RACE AND ETHNICITY
(Number of Santa Monica Program Participants)</t>
  </si>
  <si>
    <t>Asian or Pacific Islander</t>
  </si>
  <si>
    <t>Black or African-American</t>
  </si>
  <si>
    <t>Latinx</t>
  </si>
  <si>
    <t>White or Caucasian</t>
  </si>
  <si>
    <t>Multiple Race/Ethnicity</t>
  </si>
  <si>
    <t>Other</t>
  </si>
  <si>
    <t>Refuse to State</t>
  </si>
  <si>
    <t>Total</t>
  </si>
  <si>
    <t>ZIP CODE
(Number of Santa Monica Program Participants)</t>
  </si>
  <si>
    <t>Other Zip Code</t>
  </si>
  <si>
    <t>AGE AND GENDER
(Number of Santa Monica Program Participants)</t>
  </si>
  <si>
    <t>Male</t>
  </si>
  <si>
    <t>Female</t>
  </si>
  <si>
    <t xml:space="preserve">Transgender </t>
  </si>
  <si>
    <t>Not Reported</t>
  </si>
  <si>
    <t>Under 5</t>
  </si>
  <si>
    <t>5-12</t>
  </si>
  <si>
    <t>13-17</t>
  </si>
  <si>
    <t>18-24</t>
  </si>
  <si>
    <t>25-34</t>
  </si>
  <si>
    <t>35-44</t>
  </si>
  <si>
    <t>45-54</t>
  </si>
  <si>
    <t>55-61</t>
  </si>
  <si>
    <t>62-74</t>
  </si>
  <si>
    <t>75-84</t>
  </si>
  <si>
    <t>85+</t>
  </si>
  <si>
    <t>COST PER PARTICIPANT 
(Total Program Budget / 
Total Unduplicated Program Participants)</t>
  </si>
  <si>
    <t>Year-End Actual</t>
  </si>
  <si>
    <t>FY 2021-22 CASH MATCH CALCULATOR</t>
  </si>
  <si>
    <t>PROGRAM STATUS REPORT</t>
  </si>
  <si>
    <t>FY 2021-22 Annual Target</t>
  </si>
  <si>
    <t>FY 2021-22
 Year-End Actual</t>
  </si>
  <si>
    <t>Total Program Participants</t>
  </si>
  <si>
    <t>Total Santa Monica Program Participants (SMPP)</t>
  </si>
  <si>
    <t>Level of Service to SMPP (%)</t>
  </si>
  <si>
    <t>FISCAL STATUS REPORT</t>
  </si>
  <si>
    <t>FY 2021-22 Total Program Budget</t>
  </si>
  <si>
    <t>FY 2021-22
SM Grant Budget</t>
  </si>
  <si>
    <t>FY 2021-22
Total Program Expend.</t>
  </si>
  <si>
    <t>FY 2021-22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</si>
  <si>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</si>
  <si>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</si>
  <si>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</si>
  <si>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</si>
  <si>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</si>
  <si>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</si>
  <si>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</si>
  <si>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</si>
  <si>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FY 2021-22 AGENCY FUNDING SOURCES</t>
  </si>
  <si>
    <r>
      <t xml:space="preserve">List funding sources for the </t>
    </r>
    <r>
      <rPr>
        <b/>
        <sz val="11"/>
        <rFont val="Arial"/>
        <family val="2"/>
      </rPr>
      <t xml:space="preserve">agency as a whole </t>
    </r>
    <r>
      <rPr>
        <sz val="11"/>
        <rFont val="Arial"/>
        <family val="2"/>
      </rPr>
      <t xml:space="preserve">for FY 2020-21 (Projected Actuals) and  FY 2021-22 (Budgeted). Where applicable, use the Program Impact column to describe programatic impacts of funding sources or changes therein. 
For Government Grants ONLY, indicate Type of funding source (Federal, State, or County/Local) 
</t>
    </r>
    <r>
      <rPr>
        <b/>
        <i/>
        <sz val="11"/>
        <rFont val="Arial"/>
        <family val="2"/>
      </rPr>
      <t>If you are submitting multiple program budgets, this tab will be the same for each program.</t>
    </r>
  </si>
  <si>
    <t>Agency Revenue Sources</t>
  </si>
  <si>
    <t>FY 2020-21 Projected 
Actuals</t>
  </si>
  <si>
    <t xml:space="preserve">FY 2021-22
Budgeted 
</t>
  </si>
  <si>
    <t>Program Impact</t>
  </si>
  <si>
    <t>Example:</t>
  </si>
  <si>
    <t>Department of ABC</t>
  </si>
  <si>
    <t>DHHS (ACL)</t>
  </si>
  <si>
    <t>grant ending September 2021; clients that need continued care getting services through other programs</t>
  </si>
  <si>
    <t>City</t>
  </si>
  <si>
    <t>City of Los Angeles</t>
  </si>
  <si>
    <t>County</t>
  </si>
  <si>
    <t>CALOES</t>
  </si>
  <si>
    <t>Private Donors</t>
  </si>
  <si>
    <t>Contributions</t>
  </si>
  <si>
    <t xml:space="preserve">anticipate that with reopening for in-person services, program income will increase. </t>
  </si>
  <si>
    <t>VP of In Home Services</t>
  </si>
  <si>
    <t>FTE to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</si>
</sst>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 numFmtId="170" formatCode="0.00_);\(0.00\)"/>
    <numFmt numFmtId="171" formatCode="_(&quot;$&quot;* #,##0.00_);_(&quot;$&quot;* \(#,##0.00\);_(&quot;$&quot;* &quot;-&quot;_);_(@_)"/>
  </numFmts>
  <fonts count="3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b/>
      <sz val="8"/>
      <name val="Arial"/>
      <family val="2"/>
    </font>
    <font>
      <b/>
      <u/>
      <sz val="8"/>
      <name val="Arial"/>
      <family val="2"/>
    </font>
    <font>
      <sz val="10"/>
      <color indexed="8"/>
      <name val="MS Sans Serif"/>
    </font>
    <font>
      <b/>
      <i/>
      <sz val="10"/>
      <name val="Arial"/>
      <family val="2"/>
    </font>
    <font>
      <b/>
      <i/>
      <u/>
      <sz val="8"/>
      <name val="Arial"/>
      <family val="2"/>
    </font>
    <font>
      <sz val="8"/>
      <name val="Arial"/>
      <family val="2"/>
    </font>
    <font>
      <b/>
      <sz val="14"/>
      <name val="Arial"/>
      <family val="2"/>
    </font>
    <font>
      <b/>
      <i/>
      <u/>
      <sz val="10"/>
      <name val="Arial"/>
      <family val="2"/>
    </font>
    <font>
      <b/>
      <sz val="10"/>
      <color theme="1"/>
      <name val="Arial"/>
      <family val="2"/>
    </font>
    <font>
      <b/>
      <sz val="11"/>
      <color rgb="FFFFFFFF"/>
      <name val="Arial"/>
      <family val="2"/>
    </font>
    <font>
      <b/>
      <sz val="10"/>
      <color theme="0"/>
      <name val="Arial"/>
      <family val="2"/>
    </font>
    <font>
      <sz val="10"/>
      <color rgb="FFFF0000"/>
      <name val="Arial"/>
      <family val="2"/>
    </font>
    <font>
      <sz val="9"/>
      <name val="Arial"/>
      <family val="2"/>
    </font>
    <font>
      <b/>
      <u/>
      <sz val="8"/>
      <color rgb="FFFF0000"/>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12"/>
      <name val="Arial"/>
      <family val="2"/>
    </font>
    <font>
      <b/>
      <i/>
      <sz val="11"/>
      <name val="Arial"/>
      <family val="2"/>
    </font>
    <font>
      <b/>
      <u/>
      <sz val="11"/>
      <name val="Arial"/>
      <family val="2"/>
    </font>
    <font>
      <b/>
      <sz val="11"/>
      <color rgb="FFFF0000"/>
      <name val="Arial"/>
      <family val="2"/>
    </font>
    <font>
      <sz val="14"/>
      <name val="Arial"/>
      <family val="2"/>
    </font>
    <font>
      <sz val="11"/>
      <color rgb="FFFF0000"/>
      <name val="Arial"/>
      <family val="2"/>
    </font>
    <font>
      <sz val="10"/>
      <color theme="1"/>
      <name val="Arial"/>
      <family val="2"/>
    </font>
    <font>
      <u/>
      <sz val="10"/>
      <color theme="10"/>
      <name val="Arial"/>
      <family val="2"/>
    </font>
  </fonts>
  <fills count="16">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rgb="FF00B0F0"/>
        <bgColor indexed="64"/>
      </patternFill>
    </fill>
  </fills>
  <borders count="6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style="thin">
        <color theme="0" tint="-0.24994659260841701"/>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1"/>
      </left>
      <right/>
      <top style="thin">
        <color indexed="64"/>
      </top>
      <bottom style="medium">
        <color indexed="64"/>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right style="medium">
        <color theme="0" tint="-0.14996795556505021"/>
      </right>
      <top style="medium">
        <color theme="0" tint="-0.14996795556505021"/>
      </top>
      <bottom style="medium">
        <color theme="0" tint="-0.14996795556505021"/>
      </bottom>
      <diagonal/>
    </border>
    <border>
      <left/>
      <right style="medium">
        <color theme="0" tint="-0.14996795556505021"/>
      </right>
      <top style="medium">
        <color theme="0" tint="-0.14996795556505021"/>
      </top>
      <bottom/>
      <diagonal/>
    </border>
    <border>
      <left/>
      <right style="medium">
        <color indexed="64"/>
      </right>
      <top style="thin">
        <color indexed="64"/>
      </top>
      <bottom style="medium">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9" fillId="0" borderId="0"/>
    <xf numFmtId="9" fontId="1" fillId="0" borderId="0" applyFont="0" applyFill="0" applyBorder="0" applyAlignment="0" applyProtection="0"/>
    <xf numFmtId="0" fontId="36" fillId="0" borderId="0" applyNumberFormat="0" applyFill="0" applyBorder="0" applyAlignment="0" applyProtection="0"/>
  </cellStyleXfs>
  <cellXfs count="374">
    <xf numFmtId="0" fontId="0" fillId="0" borderId="0" xfId="0"/>
    <xf numFmtId="0" fontId="1" fillId="0" borderId="0" xfId="3"/>
    <xf numFmtId="9" fontId="3" fillId="4" borderId="2" xfId="5" applyFont="1" applyFill="1" applyBorder="1" applyAlignment="1" applyProtection="1">
      <alignment horizontal="center"/>
    </xf>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6" fontId="7" fillId="4" borderId="9" xfId="1" applyNumberFormat="1" applyFont="1" applyFill="1" applyBorder="1" applyAlignment="1" applyProtection="1">
      <alignment horizontal="center"/>
    </xf>
    <xf numFmtId="9" fontId="7" fillId="4" borderId="10" xfId="5" applyFont="1" applyFill="1" applyBorder="1" applyAlignment="1" applyProtection="1">
      <alignment horizontal="center"/>
    </xf>
    <xf numFmtId="0" fontId="7"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7" fillId="4" borderId="7" xfId="1" applyNumberFormat="1" applyFont="1" applyFill="1" applyBorder="1" applyAlignment="1" applyProtection="1">
      <alignment horizontal="center"/>
    </xf>
    <xf numFmtId="9" fontId="7" fillId="4" borderId="0" xfId="5" applyFont="1" applyFill="1" applyBorder="1" applyAlignment="1" applyProtection="1">
      <alignment horizontal="center"/>
    </xf>
    <xf numFmtId="0" fontId="7" fillId="4" borderId="0" xfId="3" applyFont="1" applyFill="1" applyBorder="1" applyAlignment="1" applyProtection="1">
      <alignment horizontal="center"/>
    </xf>
    <xf numFmtId="0" fontId="2" fillId="4" borderId="11" xfId="3" applyFont="1" applyFill="1" applyBorder="1" applyAlignment="1" applyProtection="1">
      <alignment wrapText="1"/>
    </xf>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0" fontId="1" fillId="0" borderId="0" xfId="3" applyFont="1" applyFill="1" applyBorder="1" applyProtection="1"/>
    <xf numFmtId="9" fontId="1" fillId="0" borderId="21" xfId="5" applyFont="1" applyFill="1" applyBorder="1" applyAlignment="1" applyProtection="1">
      <alignment horizontal="center"/>
    </xf>
    <xf numFmtId="0" fontId="8" fillId="0" borderId="0" xfId="3" applyFont="1" applyFill="1" applyBorder="1" applyAlignment="1" applyProtection="1">
      <alignment horizontal="center" wrapText="1"/>
    </xf>
    <xf numFmtId="9" fontId="2" fillId="0" borderId="21" xfId="5"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2" fillId="0" borderId="0" xfId="3" applyFont="1"/>
    <xf numFmtId="0" fontId="2" fillId="0" borderId="0" xfId="3" applyFont="1" applyAlignment="1">
      <alignment horizontal="center"/>
    </xf>
    <xf numFmtId="9" fontId="8" fillId="0" borderId="0" xfId="5" applyFont="1" applyFill="1" applyBorder="1" applyAlignment="1" applyProtection="1">
      <alignment horizontal="center" wrapText="1"/>
    </xf>
    <xf numFmtId="166" fontId="8" fillId="0" borderId="7" xfId="1" applyNumberFormat="1" applyFont="1" applyFill="1" applyBorder="1" applyAlignment="1" applyProtection="1">
      <alignment horizontal="center" wrapText="1"/>
    </xf>
    <xf numFmtId="0" fontId="1" fillId="0" borderId="5" xfId="3" applyFont="1" applyFill="1" applyBorder="1" applyProtection="1"/>
    <xf numFmtId="0" fontId="11" fillId="0" borderId="8" xfId="3" applyFont="1" applyFill="1" applyBorder="1" applyAlignment="1" applyProtection="1">
      <alignment wrapText="1"/>
    </xf>
    <xf numFmtId="0" fontId="11" fillId="0" borderId="0" xfId="3" applyFont="1" applyFill="1" applyBorder="1" applyAlignment="1" applyProtection="1">
      <alignment wrapText="1"/>
    </xf>
    <xf numFmtId="0" fontId="11" fillId="0" borderId="0" xfId="3" applyFont="1" applyFill="1" applyBorder="1" applyAlignment="1" applyProtection="1">
      <alignment horizontal="center" wrapText="1"/>
    </xf>
    <xf numFmtId="0" fontId="12" fillId="4" borderId="8" xfId="3" applyFont="1" applyFill="1" applyBorder="1" applyAlignment="1" applyProtection="1"/>
    <xf numFmtId="0" fontId="12" fillId="4" borderId="0" xfId="3" applyFont="1" applyFill="1" applyBorder="1" applyAlignment="1" applyProtection="1">
      <alignment wrapText="1"/>
    </xf>
    <xf numFmtId="0" fontId="12" fillId="4" borderId="0" xfId="3" applyFont="1" applyFill="1" applyBorder="1" applyProtection="1"/>
    <xf numFmtId="0" fontId="12" fillId="4" borderId="7" xfId="3" applyFont="1" applyFill="1" applyBorder="1" applyProtection="1"/>
    <xf numFmtId="0" fontId="12" fillId="0" borderId="0" xfId="3" applyFont="1" applyFill="1" applyBorder="1" applyProtection="1"/>
    <xf numFmtId="164" fontId="12" fillId="4" borderId="0" xfId="2" applyNumberFormat="1" applyFont="1" applyFill="1" applyBorder="1" applyProtection="1"/>
    <xf numFmtId="9" fontId="12" fillId="4" borderId="0" xfId="5" applyFont="1" applyFill="1" applyBorder="1" applyAlignment="1" applyProtection="1">
      <alignment horizontal="center"/>
    </xf>
    <xf numFmtId="44" fontId="12" fillId="4" borderId="7" xfId="2" applyFont="1" applyFill="1" applyBorder="1" applyProtection="1"/>
    <xf numFmtId="0" fontId="12" fillId="4" borderId="8" xfId="3" applyFont="1" applyFill="1" applyBorder="1" applyProtection="1"/>
    <xf numFmtId="0" fontId="7" fillId="4" borderId="0" xfId="3" applyFont="1" applyFill="1" applyBorder="1" applyProtection="1"/>
    <xf numFmtId="0" fontId="13" fillId="0" borderId="0" xfId="3" applyFont="1" applyFill="1" applyBorder="1" applyAlignment="1" applyProtection="1"/>
    <xf numFmtId="164" fontId="4" fillId="3" borderId="0" xfId="2" applyNumberFormat="1" applyFont="1" applyFill="1" applyBorder="1" applyAlignment="1" applyProtection="1">
      <alignment horizontal="center"/>
    </xf>
    <xf numFmtId="0" fontId="7" fillId="4" borderId="8" xfId="3" applyFont="1" applyFill="1" applyBorder="1" applyAlignment="1" applyProtection="1">
      <alignment horizontal="left" indent="1"/>
    </xf>
    <xf numFmtId="0" fontId="1" fillId="0" borderId="10" xfId="3" applyFont="1" applyFill="1" applyBorder="1" applyProtection="1"/>
    <xf numFmtId="9" fontId="2" fillId="0" borderId="0" xfId="5" applyFont="1" applyFill="1" applyBorder="1" applyAlignment="1" applyProtection="1">
      <alignment horizontal="center"/>
    </xf>
    <xf numFmtId="49" fontId="1" fillId="0" borderId="0" xfId="3" applyNumberFormat="1" applyFont="1" applyFill="1" applyBorder="1" applyProtection="1"/>
    <xf numFmtId="49" fontId="12" fillId="0" borderId="0" xfId="3" applyNumberFormat="1" applyFont="1" applyFill="1" applyBorder="1" applyProtection="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16" fillId="9" borderId="1" xfId="3" applyFont="1" applyFill="1" applyBorder="1" applyAlignment="1">
      <alignment horizontal="center" vertical="center" wrapText="1"/>
    </xf>
    <xf numFmtId="0" fontId="16" fillId="9" borderId="18" xfId="3" applyFont="1" applyFill="1" applyBorder="1" applyAlignment="1">
      <alignment horizontal="center" vertical="center" wrapText="1"/>
    </xf>
    <xf numFmtId="0" fontId="13" fillId="0" borderId="0" xfId="3" applyFont="1"/>
    <xf numFmtId="164" fontId="2" fillId="0" borderId="0" xfId="2" applyNumberFormat="1" applyFont="1" applyFill="1" applyBorder="1" applyProtection="1"/>
    <xf numFmtId="0" fontId="19" fillId="0" borderId="0" xfId="3" applyFont="1" applyAlignment="1" applyProtection="1">
      <alignment horizontal="center"/>
    </xf>
    <xf numFmtId="49" fontId="2" fillId="0" borderId="0" xfId="3" applyNumberFormat="1" applyFont="1" applyFill="1" applyBorder="1" applyAlignment="1" applyProtection="1">
      <alignment horizontal="center"/>
    </xf>
    <xf numFmtId="49" fontId="8" fillId="0" borderId="0" xfId="3" applyNumberFormat="1" applyFont="1" applyFill="1" applyAlignment="1" applyProtection="1">
      <alignment horizontal="center" vertical="center" wrapText="1"/>
    </xf>
    <xf numFmtId="49" fontId="1" fillId="0" borderId="0" xfId="3" applyNumberFormat="1" applyFont="1" applyFill="1" applyBorder="1" applyAlignment="1" applyProtection="1">
      <alignment horizontal="left" vertical="center" wrapText="1"/>
    </xf>
    <xf numFmtId="49" fontId="12" fillId="0" borderId="0" xfId="3" applyNumberFormat="1" applyFont="1" applyFill="1" applyBorder="1" applyAlignment="1" applyProtection="1">
      <alignment horizontal="left" vertical="center" wrapText="1"/>
    </xf>
    <xf numFmtId="0" fontId="19" fillId="0" borderId="0" xfId="3" applyFont="1"/>
    <xf numFmtId="167" fontId="19" fillId="0" borderId="0" xfId="3" applyNumberFormat="1" applyFont="1"/>
    <xf numFmtId="0" fontId="19" fillId="0" borderId="0" xfId="3" applyFont="1" applyAlignment="1">
      <alignment horizontal="center"/>
    </xf>
    <xf numFmtId="164" fontId="4" fillId="7" borderId="0" xfId="2" applyNumberFormat="1" applyFont="1" applyFill="1" applyBorder="1" applyAlignment="1" applyProtection="1">
      <alignment horizontal="right"/>
    </xf>
    <xf numFmtId="164" fontId="4" fillId="7" borderId="7" xfId="2" applyNumberFormat="1" applyFont="1" applyFill="1" applyBorder="1" applyAlignment="1" applyProtection="1">
      <alignment horizontal="right"/>
    </xf>
    <xf numFmtId="164" fontId="4" fillId="7" borderId="0" xfId="2" applyNumberFormat="1" applyFont="1" applyFill="1" applyBorder="1" applyAlignment="1" applyProtection="1">
      <alignment horizontal="center"/>
    </xf>
    <xf numFmtId="0" fontId="2" fillId="4" borderId="32" xfId="3" applyFont="1" applyFill="1" applyBorder="1" applyAlignment="1" applyProtection="1">
      <alignment wrapText="1"/>
    </xf>
    <xf numFmtId="0" fontId="2" fillId="4" borderId="33" xfId="3" applyFont="1" applyFill="1" applyBorder="1" applyProtection="1"/>
    <xf numFmtId="0" fontId="1" fillId="4" borderId="33" xfId="3" applyFont="1" applyFill="1" applyBorder="1" applyProtection="1"/>
    <xf numFmtId="0" fontId="7" fillId="4" borderId="33" xfId="3" applyFont="1" applyFill="1" applyBorder="1" applyAlignment="1" applyProtection="1">
      <alignment horizontal="center"/>
    </xf>
    <xf numFmtId="9" fontId="7" fillId="4" borderId="33" xfId="5" applyFont="1" applyFill="1" applyBorder="1" applyAlignment="1" applyProtection="1">
      <alignment horizontal="center"/>
    </xf>
    <xf numFmtId="166" fontId="7" fillId="4" borderId="34" xfId="1" applyNumberFormat="1" applyFont="1" applyFill="1" applyBorder="1" applyAlignment="1" applyProtection="1">
      <alignment horizontal="center"/>
    </xf>
    <xf numFmtId="166" fontId="7" fillId="4" borderId="39" xfId="1" applyNumberFormat="1" applyFont="1" applyFill="1" applyBorder="1" applyAlignment="1" applyProtection="1">
      <alignment horizontal="center"/>
    </xf>
    <xf numFmtId="166" fontId="8" fillId="0" borderId="39" xfId="1" applyNumberFormat="1" applyFont="1" applyFill="1" applyBorder="1" applyAlignment="1" applyProtection="1">
      <alignment horizontal="center" wrapText="1"/>
    </xf>
    <xf numFmtId="0" fontId="1" fillId="0" borderId="8" xfId="3" applyFont="1" applyFill="1" applyBorder="1" applyProtection="1"/>
    <xf numFmtId="0" fontId="2" fillId="0" borderId="6" xfId="3" applyFont="1" applyFill="1" applyBorder="1" applyProtection="1"/>
    <xf numFmtId="0" fontId="2" fillId="0" borderId="5" xfId="3" applyFont="1" applyFill="1" applyBorder="1" applyProtection="1"/>
    <xf numFmtId="0" fontId="1" fillId="0" borderId="11" xfId="3" applyFont="1" applyFill="1" applyBorder="1" applyProtection="1"/>
    <xf numFmtId="9" fontId="2" fillId="5" borderId="2" xfId="5" applyFont="1" applyFill="1" applyBorder="1" applyAlignment="1" applyProtection="1"/>
    <xf numFmtId="9" fontId="12" fillId="4" borderId="0" xfId="5" applyFont="1" applyFill="1" applyBorder="1" applyProtection="1"/>
    <xf numFmtId="165" fontId="4" fillId="3" borderId="0" xfId="5" applyNumberFormat="1" applyFont="1" applyFill="1" applyBorder="1" applyAlignment="1" applyProtection="1">
      <alignment horizontal="center"/>
    </xf>
    <xf numFmtId="49" fontId="1" fillId="6" borderId="26" xfId="2" applyNumberFormat="1" applyFont="1" applyFill="1" applyBorder="1" applyAlignment="1" applyProtection="1">
      <alignment horizontal="left" vertical="center" wrapText="1"/>
      <protection locked="0"/>
    </xf>
    <xf numFmtId="0" fontId="12" fillId="12" borderId="12" xfId="3" applyFont="1" applyFill="1" applyBorder="1" applyProtection="1">
      <protection locked="0"/>
    </xf>
    <xf numFmtId="9" fontId="1" fillId="0" borderId="7" xfId="5" applyFont="1" applyFill="1" applyBorder="1" applyAlignment="1" applyProtection="1">
      <alignment horizontal="center"/>
    </xf>
    <xf numFmtId="9" fontId="2" fillId="0" borderId="7" xfId="5" applyFont="1" applyFill="1" applyBorder="1" applyAlignment="1" applyProtection="1">
      <alignment horizontal="center"/>
    </xf>
    <xf numFmtId="0" fontId="1" fillId="0" borderId="0" xfId="3" applyAlignment="1"/>
    <xf numFmtId="0" fontId="8" fillId="0" borderId="10" xfId="3" applyFont="1" applyFill="1" applyBorder="1" applyAlignment="1" applyProtection="1">
      <alignment horizontal="center" wrapText="1"/>
    </xf>
    <xf numFmtId="9" fontId="8" fillId="0" borderId="10" xfId="5" applyFont="1" applyFill="1" applyBorder="1" applyAlignment="1" applyProtection="1">
      <alignment horizontal="center" wrapText="1"/>
    </xf>
    <xf numFmtId="166" fontId="8" fillId="0" borderId="9" xfId="1" applyNumberFormat="1" applyFont="1" applyFill="1" applyBorder="1" applyAlignment="1" applyProtection="1">
      <alignment horizontal="center" wrapText="1"/>
    </xf>
    <xf numFmtId="0" fontId="1" fillId="0" borderId="7" xfId="3" applyFont="1" applyFill="1" applyBorder="1" applyProtection="1"/>
    <xf numFmtId="0" fontId="1" fillId="0" borderId="4" xfId="3" applyFont="1" applyFill="1" applyBorder="1" applyProtection="1"/>
    <xf numFmtId="9" fontId="7" fillId="0" borderId="0" xfId="5" applyFont="1" applyFill="1" applyBorder="1" applyAlignment="1" applyProtection="1">
      <alignment horizontal="center" wrapText="1"/>
    </xf>
    <xf numFmtId="0" fontId="8" fillId="0" borderId="35" xfId="3" applyFont="1" applyFill="1" applyBorder="1" applyAlignment="1" applyProtection="1">
      <alignment wrapText="1"/>
    </xf>
    <xf numFmtId="0" fontId="8" fillId="0" borderId="0" xfId="3" applyFont="1" applyFill="1" applyBorder="1" applyAlignment="1" applyProtection="1">
      <alignment wrapText="1"/>
    </xf>
    <xf numFmtId="0" fontId="2" fillId="0" borderId="10" xfId="3" applyFont="1" applyFill="1" applyBorder="1" applyProtection="1"/>
    <xf numFmtId="164" fontId="2" fillId="0" borderId="10" xfId="2" applyNumberFormat="1" applyFont="1" applyFill="1" applyBorder="1" applyProtection="1"/>
    <xf numFmtId="9" fontId="2" fillId="0" borderId="10" xfId="5" applyFont="1" applyFill="1" applyBorder="1" applyAlignment="1" applyProtection="1">
      <alignment horizontal="center"/>
    </xf>
    <xf numFmtId="164" fontId="2" fillId="0" borderId="9" xfId="2" applyNumberFormat="1" applyFont="1" applyFill="1" applyBorder="1" applyProtection="1"/>
    <xf numFmtId="164" fontId="2" fillId="0" borderId="7" xfId="2" applyNumberFormat="1" applyFont="1" applyFill="1" applyBorder="1" applyProtection="1"/>
    <xf numFmtId="166" fontId="2" fillId="0" borderId="4" xfId="1" applyNumberFormat="1" applyFont="1" applyFill="1" applyBorder="1" applyProtection="1"/>
    <xf numFmtId="42" fontId="1" fillId="6" borderId="21" xfId="2" applyNumberFormat="1" applyFont="1" applyFill="1" applyBorder="1" applyProtection="1">
      <protection locked="0"/>
    </xf>
    <xf numFmtId="42" fontId="1" fillId="6" borderId="36" xfId="3" applyNumberFormat="1" applyFont="1" applyFill="1" applyBorder="1" applyProtection="1">
      <protection locked="0"/>
    </xf>
    <xf numFmtId="42" fontId="1" fillId="0" borderId="21" xfId="2" applyNumberFormat="1" applyFont="1" applyFill="1" applyBorder="1" applyProtection="1"/>
    <xf numFmtId="42" fontId="2" fillId="0" borderId="21" xfId="2" applyNumberFormat="1" applyFont="1" applyFill="1" applyBorder="1" applyProtection="1"/>
    <xf numFmtId="42" fontId="1" fillId="0" borderId="23" xfId="2" applyNumberFormat="1" applyFont="1" applyFill="1" applyBorder="1" applyProtection="1"/>
    <xf numFmtId="42" fontId="2" fillId="0" borderId="23" xfId="2" applyNumberFormat="1" applyFont="1" applyFill="1" applyBorder="1" applyProtection="1"/>
    <xf numFmtId="42" fontId="1" fillId="6" borderId="19" xfId="2" applyNumberFormat="1" applyFont="1" applyFill="1" applyBorder="1" applyProtection="1">
      <protection locked="0"/>
    </xf>
    <xf numFmtId="42" fontId="1" fillId="6" borderId="28" xfId="2" applyNumberFormat="1" applyFont="1" applyFill="1" applyBorder="1" applyProtection="1">
      <protection locked="0"/>
    </xf>
    <xf numFmtId="42" fontId="1" fillId="6" borderId="22" xfId="2" applyNumberFormat="1" applyFont="1" applyFill="1" applyBorder="1" applyProtection="1">
      <protection locked="0"/>
    </xf>
    <xf numFmtId="42" fontId="1" fillId="6" borderId="27" xfId="2" applyNumberFormat="1" applyFont="1" applyFill="1" applyBorder="1" applyProtection="1">
      <protection locked="0"/>
    </xf>
    <xf numFmtId="42" fontId="3" fillId="4" borderId="2" xfId="2" applyNumberFormat="1" applyFont="1" applyFill="1" applyBorder="1" applyProtection="1"/>
    <xf numFmtId="42" fontId="3" fillId="4" borderId="1" xfId="2" applyNumberFormat="1" applyFont="1" applyFill="1" applyBorder="1" applyProtection="1"/>
    <xf numFmtId="42" fontId="1" fillId="6" borderId="12" xfId="2" applyNumberFormat="1" applyFont="1" applyFill="1" applyBorder="1" applyProtection="1">
      <protection locked="0"/>
    </xf>
    <xf numFmtId="0" fontId="1" fillId="0" borderId="0" xfId="3" applyFont="1" applyFill="1" applyBorder="1" applyAlignment="1" applyProtection="1">
      <alignment horizontal="left" indent="1"/>
    </xf>
    <xf numFmtId="0" fontId="2" fillId="0" borderId="0" xfId="3" applyFont="1" applyFill="1" applyBorder="1" applyAlignment="1" applyProtection="1">
      <alignment horizontal="left" indent="1"/>
    </xf>
    <xf numFmtId="0" fontId="2" fillId="0" borderId="8" xfId="3" applyFont="1" applyBorder="1" applyAlignment="1" applyProtection="1">
      <alignment horizontal="left"/>
    </xf>
    <xf numFmtId="42" fontId="1" fillId="0" borderId="12" xfId="2" applyNumberFormat="1" applyFont="1" applyFill="1" applyBorder="1" applyProtection="1"/>
    <xf numFmtId="0" fontId="1" fillId="0" borderId="11" xfId="3" applyBorder="1" applyProtection="1"/>
    <xf numFmtId="0" fontId="1" fillId="0" borderId="10" xfId="3" applyBorder="1" applyProtection="1"/>
    <xf numFmtId="0" fontId="1" fillId="0" borderId="8" xfId="3" applyBorder="1" applyProtection="1"/>
    <xf numFmtId="0" fontId="1" fillId="0" borderId="0" xfId="3" applyBorder="1" applyProtection="1"/>
    <xf numFmtId="0" fontId="1" fillId="0" borderId="6" xfId="3" applyBorder="1" applyProtection="1"/>
    <xf numFmtId="0" fontId="1" fillId="0" borderId="5" xfId="3" applyBorder="1" applyProtection="1"/>
    <xf numFmtId="0" fontId="12" fillId="4" borderId="35" xfId="3" applyFont="1" applyFill="1" applyBorder="1" applyProtection="1"/>
    <xf numFmtId="0" fontId="3" fillId="4" borderId="11" xfId="3" applyFont="1" applyFill="1" applyBorder="1" applyProtection="1"/>
    <xf numFmtId="0" fontId="2" fillId="4" borderId="9" xfId="3" applyFont="1" applyFill="1" applyBorder="1" applyProtection="1"/>
    <xf numFmtId="49" fontId="1" fillId="0" borderId="0" xfId="3" applyNumberFormat="1" applyProtection="1"/>
    <xf numFmtId="0" fontId="1" fillId="0" borderId="0" xfId="3" applyProtection="1"/>
    <xf numFmtId="0" fontId="4" fillId="4" borderId="8" xfId="3" applyFont="1" applyFill="1" applyBorder="1" applyProtection="1"/>
    <xf numFmtId="0" fontId="2" fillId="4" borderId="0" xfId="3" applyFont="1" applyFill="1" applyProtection="1"/>
    <xf numFmtId="0" fontId="2" fillId="4" borderId="7" xfId="3" applyFont="1" applyFill="1" applyBorder="1" applyProtection="1"/>
    <xf numFmtId="0" fontId="14" fillId="0" borderId="8" xfId="3" applyFont="1" applyBorder="1" applyProtection="1"/>
    <xf numFmtId="0" fontId="14" fillId="0" borderId="0" xfId="3" applyFont="1" applyProtection="1"/>
    <xf numFmtId="0" fontId="7" fillId="0" borderId="0" xfId="3" applyFont="1" applyFill="1" applyAlignment="1" applyProtection="1">
      <alignment horizontal="center" wrapText="1"/>
    </xf>
    <xf numFmtId="0" fontId="7" fillId="0" borderId="7" xfId="3" applyFont="1" applyFill="1" applyBorder="1" applyAlignment="1" applyProtection="1">
      <alignment horizontal="center" wrapText="1"/>
    </xf>
    <xf numFmtId="0" fontId="1" fillId="0" borderId="29" xfId="0" applyFont="1" applyBorder="1" applyProtection="1"/>
    <xf numFmtId="0" fontId="1" fillId="7" borderId="26" xfId="2" applyNumberFormat="1" applyFont="1" applyFill="1" applyBorder="1" applyProtection="1"/>
    <xf numFmtId="42" fontId="1" fillId="7" borderId="44" xfId="2" applyNumberFormat="1" applyFont="1" applyFill="1" applyBorder="1" applyProtection="1"/>
    <xf numFmtId="0" fontId="1" fillId="7" borderId="29" xfId="0" applyFont="1" applyFill="1" applyBorder="1" applyProtection="1"/>
    <xf numFmtId="0" fontId="3" fillId="0" borderId="6" xfId="3" applyFont="1" applyBorder="1" applyProtection="1"/>
    <xf numFmtId="0" fontId="2" fillId="0" borderId="0" xfId="3" applyFont="1" applyProtection="1"/>
    <xf numFmtId="0" fontId="2" fillId="0" borderId="11" xfId="3" applyFont="1" applyBorder="1" applyProtection="1"/>
    <xf numFmtId="0" fontId="2" fillId="0" borderId="10" xfId="3" applyFont="1" applyBorder="1" applyProtection="1"/>
    <xf numFmtId="49" fontId="2" fillId="0" borderId="10" xfId="3" applyNumberFormat="1" applyFont="1" applyBorder="1" applyProtection="1"/>
    <xf numFmtId="0" fontId="2" fillId="0" borderId="6" xfId="3" applyFont="1" applyBorder="1" applyProtection="1"/>
    <xf numFmtId="0" fontId="2" fillId="0" borderId="5" xfId="3" applyFont="1" applyBorder="1" applyProtection="1"/>
    <xf numFmtId="49" fontId="2" fillId="0" borderId="5" xfId="3" applyNumberFormat="1" applyFont="1" applyBorder="1" applyProtection="1"/>
    <xf numFmtId="49" fontId="2" fillId="12" borderId="12" xfId="3" applyNumberFormat="1" applyFont="1" applyFill="1" applyBorder="1" applyProtection="1"/>
    <xf numFmtId="49" fontId="2" fillId="12" borderId="15" xfId="3" applyNumberFormat="1" applyFont="1" applyFill="1" applyBorder="1" applyProtection="1"/>
    <xf numFmtId="42" fontId="4" fillId="12" borderId="14" xfId="2" applyNumberFormat="1" applyFont="1" applyFill="1" applyBorder="1" applyAlignment="1" applyProtection="1">
      <alignment horizontal="center" vertical="center" wrapText="1"/>
    </xf>
    <xf numFmtId="42" fontId="4" fillId="7" borderId="0" xfId="2" applyNumberFormat="1" applyFont="1" applyFill="1" applyBorder="1" applyAlignment="1" applyProtection="1">
      <alignment horizontal="right"/>
    </xf>
    <xf numFmtId="42" fontId="4" fillId="7" borderId="7" xfId="2" applyNumberFormat="1" applyFont="1" applyFill="1" applyBorder="1" applyAlignment="1" applyProtection="1">
      <alignment horizontal="right"/>
    </xf>
    <xf numFmtId="42" fontId="4" fillId="3" borderId="0" xfId="2" applyNumberFormat="1" applyFont="1" applyFill="1" applyBorder="1" applyAlignment="1" applyProtection="1">
      <alignment horizontal="center"/>
    </xf>
    <xf numFmtId="42" fontId="4" fillId="7" borderId="0" xfId="2" applyNumberFormat="1" applyFont="1" applyFill="1" applyBorder="1" applyAlignment="1" applyProtection="1">
      <alignment horizontal="center"/>
    </xf>
    <xf numFmtId="42" fontId="3" fillId="10" borderId="2" xfId="2" applyNumberFormat="1" applyFont="1" applyFill="1" applyBorder="1" applyAlignment="1" applyProtection="1">
      <alignment horizontal="center"/>
    </xf>
    <xf numFmtId="164" fontId="32" fillId="0" borderId="0" xfId="2" applyNumberFormat="1" applyFont="1" applyBorder="1" applyAlignment="1" applyProtection="1">
      <alignment horizontal="center" wrapText="1"/>
    </xf>
    <xf numFmtId="0" fontId="15" fillId="0" borderId="0" xfId="3" applyFont="1" applyAlignment="1">
      <alignment horizontal="center"/>
    </xf>
    <xf numFmtId="0" fontId="3" fillId="0" borderId="0" xfId="3" applyFont="1"/>
    <xf numFmtId="49" fontId="3" fillId="0" borderId="12" xfId="3" applyNumberFormat="1" applyFont="1" applyBorder="1"/>
    <xf numFmtId="0" fontId="19" fillId="0" borderId="12" xfId="3" applyFont="1" applyBorder="1"/>
    <xf numFmtId="49" fontId="3" fillId="0" borderId="15" xfId="3" applyNumberFormat="1" applyFont="1" applyBorder="1"/>
    <xf numFmtId="0" fontId="19" fillId="0" borderId="15" xfId="3" applyFont="1" applyBorder="1"/>
    <xf numFmtId="0" fontId="13" fillId="0" borderId="0" xfId="3" applyFont="1" applyAlignment="1">
      <alignment vertical="top"/>
    </xf>
    <xf numFmtId="41" fontId="5" fillId="5" borderId="11" xfId="3" applyNumberFormat="1" applyFont="1" applyFill="1" applyBorder="1" applyAlignment="1">
      <alignment horizontal="center"/>
    </xf>
    <xf numFmtId="41" fontId="21" fillId="5" borderId="10" xfId="3" applyNumberFormat="1" applyFont="1" applyFill="1" applyBorder="1" applyAlignment="1">
      <alignment horizontal="center" wrapText="1"/>
    </xf>
    <xf numFmtId="0" fontId="1" fillId="5" borderId="9" xfId="3" applyFill="1" applyBorder="1"/>
    <xf numFmtId="0" fontId="4" fillId="7" borderId="8" xfId="3" applyFont="1" applyFill="1" applyBorder="1"/>
    <xf numFmtId="0" fontId="4" fillId="3" borderId="0" xfId="3" applyFont="1" applyFill="1" applyAlignment="1">
      <alignment horizontal="center"/>
    </xf>
    <xf numFmtId="0" fontId="4" fillId="7" borderId="0" xfId="3" applyFont="1" applyFill="1" applyAlignment="1">
      <alignment horizontal="center"/>
    </xf>
    <xf numFmtId="0" fontId="19" fillId="7" borderId="7" xfId="3" applyFont="1" applyFill="1" applyBorder="1"/>
    <xf numFmtId="9" fontId="4" fillId="3" borderId="8" xfId="3" applyNumberFormat="1" applyFont="1" applyFill="1" applyBorder="1"/>
    <xf numFmtId="9" fontId="4" fillId="7" borderId="0" xfId="3" applyNumberFormat="1" applyFont="1" applyFill="1" applyAlignment="1">
      <alignment horizontal="center"/>
    </xf>
    <xf numFmtId="165" fontId="4" fillId="7" borderId="0" xfId="3" applyNumberFormat="1" applyFont="1" applyFill="1" applyAlignment="1">
      <alignment horizontal="center"/>
    </xf>
    <xf numFmtId="9" fontId="4" fillId="3" borderId="0" xfId="3" applyNumberFormat="1" applyFont="1" applyFill="1" applyAlignment="1">
      <alignment horizontal="center"/>
    </xf>
    <xf numFmtId="41" fontId="5" fillId="5" borderId="8" xfId="3" applyNumberFormat="1" applyFont="1" applyFill="1" applyBorder="1" applyAlignment="1">
      <alignment horizontal="center"/>
    </xf>
    <xf numFmtId="165" fontId="4" fillId="3" borderId="0" xfId="3" applyNumberFormat="1" applyFont="1" applyFill="1" applyAlignment="1">
      <alignment horizontal="center"/>
    </xf>
    <xf numFmtId="165" fontId="4" fillId="3" borderId="7" xfId="3" applyNumberFormat="1" applyFont="1" applyFill="1" applyBorder="1" applyAlignment="1">
      <alignment horizontal="center"/>
    </xf>
    <xf numFmtId="0" fontId="3" fillId="10" borderId="3" xfId="3" applyFont="1" applyFill="1" applyBorder="1"/>
    <xf numFmtId="165" fontId="3" fillId="10" borderId="2" xfId="3" applyNumberFormat="1" applyFont="1" applyFill="1" applyBorder="1" applyAlignment="1">
      <alignment horizontal="center"/>
    </xf>
    <xf numFmtId="165" fontId="3" fillId="10" borderId="1" xfId="3" applyNumberFormat="1" applyFont="1" applyFill="1" applyBorder="1" applyAlignment="1">
      <alignment horizontal="center"/>
    </xf>
    <xf numFmtId="0" fontId="19" fillId="7" borderId="0" xfId="3" applyFont="1" applyFill="1" applyAlignment="1">
      <alignment horizontal="center"/>
    </xf>
    <xf numFmtId="0" fontId="3" fillId="2" borderId="18" xfId="3" applyFont="1" applyFill="1" applyBorder="1" applyAlignment="1">
      <alignment horizontal="center" wrapText="1"/>
    </xf>
    <xf numFmtId="42" fontId="4" fillId="12" borderId="12" xfId="2" applyNumberFormat="1" applyFont="1" applyFill="1" applyBorder="1" applyAlignment="1" applyProtection="1"/>
    <xf numFmtId="49" fontId="1" fillId="12" borderId="40"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left" vertical="top"/>
    </xf>
    <xf numFmtId="49" fontId="1" fillId="12" borderId="21" xfId="0" applyNumberFormat="1" applyFont="1" applyFill="1" applyBorder="1" applyAlignment="1" applyProtection="1">
      <alignment horizontal="center" vertical="top" shrinkToFit="1"/>
    </xf>
    <xf numFmtId="170" fontId="1" fillId="12" borderId="21" xfId="0" applyNumberFormat="1" applyFont="1" applyFill="1" applyBorder="1" applyAlignment="1" applyProtection="1">
      <alignment horizontal="center" vertical="top" shrinkToFit="1"/>
    </xf>
    <xf numFmtId="9" fontId="1" fillId="12" borderId="21" xfId="0" applyNumberFormat="1" applyFont="1" applyFill="1" applyBorder="1" applyAlignment="1" applyProtection="1">
      <alignment horizontal="center" vertical="top" shrinkToFit="1"/>
    </xf>
    <xf numFmtId="1" fontId="1" fillId="12" borderId="21" xfId="0" applyNumberFormat="1" applyFont="1" applyFill="1" applyBorder="1" applyAlignment="1" applyProtection="1">
      <alignment horizontal="center" vertical="top" shrinkToFit="1"/>
    </xf>
    <xf numFmtId="42" fontId="1" fillId="12" borderId="21" xfId="2" applyNumberFormat="1" applyFont="1" applyFill="1" applyBorder="1" applyProtection="1"/>
    <xf numFmtId="42" fontId="1" fillId="0" borderId="21" xfId="3" applyNumberFormat="1" applyFont="1" applyFill="1" applyBorder="1" applyProtection="1"/>
    <xf numFmtId="49" fontId="1" fillId="0" borderId="26" xfId="2" applyNumberFormat="1" applyFont="1" applyFill="1" applyBorder="1" applyAlignment="1" applyProtection="1">
      <alignment horizontal="left" vertical="center" wrapText="1"/>
    </xf>
    <xf numFmtId="42" fontId="1" fillId="0" borderId="19" xfId="2" applyNumberFormat="1" applyFont="1" applyFill="1" applyBorder="1" applyProtection="1"/>
    <xf numFmtId="49" fontId="1" fillId="12" borderId="22" xfId="0" applyNumberFormat="1" applyFont="1" applyFill="1" applyBorder="1" applyAlignment="1" applyProtection="1">
      <alignment horizontal="center" vertical="top" shrinkToFit="1"/>
    </xf>
    <xf numFmtId="9" fontId="1" fillId="12" borderId="22" xfId="0" applyNumberFormat="1" applyFont="1" applyFill="1" applyBorder="1" applyAlignment="1" applyProtection="1">
      <alignment horizontal="center" vertical="top" shrinkToFit="1"/>
    </xf>
    <xf numFmtId="1" fontId="1" fillId="12" borderId="22" xfId="0" applyNumberFormat="1" applyFont="1" applyFill="1" applyBorder="1" applyAlignment="1" applyProtection="1">
      <alignment horizontal="center" vertical="top" shrinkToFit="1"/>
    </xf>
    <xf numFmtId="170" fontId="1" fillId="12" borderId="22" xfId="0" applyNumberFormat="1" applyFont="1" applyFill="1" applyBorder="1" applyAlignment="1" applyProtection="1">
      <alignment horizontal="center" vertical="top" shrinkToFit="1"/>
    </xf>
    <xf numFmtId="0" fontId="1" fillId="0" borderId="37" xfId="3" applyFont="1" applyFill="1" applyBorder="1" applyProtection="1"/>
    <xf numFmtId="0" fontId="1" fillId="0" borderId="38" xfId="3" applyFont="1" applyFill="1" applyBorder="1" applyProtection="1"/>
    <xf numFmtId="0" fontId="2" fillId="4" borderId="41" xfId="3" applyFont="1" applyFill="1" applyBorder="1" applyAlignment="1" applyProtection="1">
      <alignment horizontal="left"/>
    </xf>
    <xf numFmtId="0" fontId="2" fillId="4" borderId="42" xfId="3" applyFont="1" applyFill="1" applyBorder="1" applyAlignment="1" applyProtection="1">
      <alignment horizontal="right"/>
    </xf>
    <xf numFmtId="0" fontId="2" fillId="4" borderId="42" xfId="3" applyFont="1" applyFill="1" applyBorder="1" applyAlignment="1" applyProtection="1">
      <alignment horizontal="center"/>
    </xf>
    <xf numFmtId="42" fontId="2" fillId="4" borderId="42" xfId="2" applyNumberFormat="1" applyFont="1" applyFill="1" applyBorder="1" applyProtection="1"/>
    <xf numFmtId="9" fontId="2" fillId="4" borderId="42" xfId="5" applyFont="1" applyFill="1" applyBorder="1" applyAlignment="1" applyProtection="1">
      <alignment horizontal="center"/>
    </xf>
    <xf numFmtId="42" fontId="2" fillId="4" borderId="43" xfId="2" applyNumberFormat="1" applyFont="1" applyFill="1" applyBorder="1" applyProtection="1"/>
    <xf numFmtId="49" fontId="1" fillId="12" borderId="20" xfId="0" applyNumberFormat="1" applyFont="1" applyFill="1" applyBorder="1" applyAlignment="1" applyProtection="1">
      <alignment horizontal="left" vertical="top"/>
    </xf>
    <xf numFmtId="49" fontId="1" fillId="12" borderId="44" xfId="0" applyNumberFormat="1" applyFont="1" applyFill="1" applyBorder="1" applyAlignment="1" applyProtection="1">
      <alignment horizontal="left" vertical="top" shrinkToFit="1"/>
    </xf>
    <xf numFmtId="49" fontId="1" fillId="12" borderId="44" xfId="3" applyNumberFormat="1" applyFont="1" applyFill="1" applyBorder="1" applyAlignment="1" applyProtection="1">
      <alignment horizontal="left" vertical="top" wrapText="1"/>
    </xf>
    <xf numFmtId="10" fontId="1" fillId="12" borderId="26"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49" fontId="1" fillId="12" borderId="20" xfId="3" applyNumberFormat="1" applyFont="1" applyFill="1" applyBorder="1" applyAlignment="1" applyProtection="1">
      <alignment horizontal="left" vertical="top"/>
    </xf>
    <xf numFmtId="49" fontId="1" fillId="12" borderId="44" xfId="5" applyNumberFormat="1" applyFont="1" applyFill="1" applyBorder="1" applyAlignment="1" applyProtection="1">
      <alignment horizontal="left" vertical="top" wrapText="1"/>
    </xf>
    <xf numFmtId="9" fontId="1" fillId="0" borderId="19" xfId="5" applyFont="1" applyFill="1" applyBorder="1" applyAlignment="1" applyProtection="1">
      <alignment horizontal="center"/>
    </xf>
    <xf numFmtId="49" fontId="1" fillId="12" borderId="26" xfId="3" applyNumberFormat="1" applyFont="1" applyFill="1" applyBorder="1" applyAlignment="1" applyProtection="1">
      <alignment horizontal="left" vertical="top" wrapText="1"/>
    </xf>
    <xf numFmtId="0" fontId="1" fillId="0" borderId="6" xfId="3" applyFont="1" applyFill="1" applyBorder="1" applyProtection="1"/>
    <xf numFmtId="0" fontId="2" fillId="4" borderId="53" xfId="3" applyFont="1" applyFill="1" applyBorder="1" applyAlignment="1" applyProtection="1">
      <alignment horizontal="left"/>
    </xf>
    <xf numFmtId="0" fontId="2" fillId="4" borderId="17" xfId="3" applyFont="1" applyFill="1" applyBorder="1" applyAlignment="1" applyProtection="1">
      <alignment horizontal="right"/>
    </xf>
    <xf numFmtId="0" fontId="2" fillId="4" borderId="24" xfId="3" applyFont="1" applyFill="1" applyBorder="1" applyAlignment="1" applyProtection="1">
      <alignment horizontal="center"/>
    </xf>
    <xf numFmtId="42" fontId="2" fillId="4" borderId="24" xfId="2" applyNumberFormat="1" applyFont="1" applyFill="1" applyBorder="1" applyProtection="1"/>
    <xf numFmtId="9" fontId="2" fillId="4" borderId="24" xfId="5" applyFont="1" applyFill="1" applyBorder="1" applyAlignment="1" applyProtection="1">
      <alignment horizontal="center"/>
    </xf>
    <xf numFmtId="42" fontId="2" fillId="4" borderId="25" xfId="2" applyNumberFormat="1" applyFont="1" applyFill="1" applyBorder="1" applyProtection="1"/>
    <xf numFmtId="49" fontId="1" fillId="12" borderId="50" xfId="0" applyNumberFormat="1" applyFont="1" applyFill="1" applyBorder="1" applyAlignment="1" applyProtection="1">
      <alignment horizontal="left" vertical="top"/>
    </xf>
    <xf numFmtId="49" fontId="1" fillId="12" borderId="51" xfId="0" applyNumberFormat="1" applyFont="1" applyFill="1" applyBorder="1" applyAlignment="1" applyProtection="1">
      <alignment horizontal="left" vertical="top" shrinkToFit="1"/>
    </xf>
    <xf numFmtId="49" fontId="1" fillId="12" borderId="51" xfId="5" applyNumberFormat="1" applyFont="1" applyFill="1" applyBorder="1" applyAlignment="1" applyProtection="1">
      <alignment horizontal="left" vertical="top" wrapText="1"/>
    </xf>
    <xf numFmtId="49" fontId="1" fillId="12" borderId="51" xfId="3" applyNumberFormat="1" applyFont="1" applyFill="1" applyBorder="1" applyAlignment="1" applyProtection="1">
      <alignment horizontal="left" vertical="top" wrapText="1"/>
    </xf>
    <xf numFmtId="49" fontId="1" fillId="12" borderId="52" xfId="3" applyNumberFormat="1" applyFont="1" applyFill="1" applyBorder="1" applyAlignment="1" applyProtection="1">
      <alignment horizontal="left" vertical="top" wrapText="1"/>
    </xf>
    <xf numFmtId="42" fontId="1" fillId="0" borderId="22" xfId="2" applyNumberFormat="1" applyFont="1" applyFill="1" applyBorder="1" applyProtection="1"/>
    <xf numFmtId="49" fontId="1" fillId="12" borderId="50" xfId="3" applyNumberFormat="1" applyFont="1" applyFill="1" applyBorder="1" applyAlignment="1" applyProtection="1">
      <alignment horizontal="left" vertical="top"/>
    </xf>
    <xf numFmtId="49" fontId="1" fillId="0" borderId="21" xfId="2" applyNumberFormat="1" applyFont="1" applyFill="1" applyBorder="1" applyAlignment="1" applyProtection="1">
      <alignment horizontal="left" vertical="center" wrapText="1"/>
    </xf>
    <xf numFmtId="49" fontId="1" fillId="12" borderId="50" xfId="3" applyNumberFormat="1" applyFont="1" applyFill="1" applyBorder="1" applyAlignment="1" applyProtection="1">
      <alignment horizontal="left" vertical="top" wrapText="1"/>
    </xf>
    <xf numFmtId="49" fontId="1" fillId="12" borderId="54" xfId="5" applyNumberFormat="1" applyFont="1" applyFill="1" applyBorder="1" applyAlignment="1" applyProtection="1">
      <alignment horizontal="left" vertical="top" wrapText="1"/>
    </xf>
    <xf numFmtId="49" fontId="1" fillId="12" borderId="54" xfId="3" applyNumberFormat="1" applyFont="1" applyFill="1" applyBorder="1" applyAlignment="1" applyProtection="1">
      <alignment horizontal="left" vertical="top" wrapText="1"/>
    </xf>
    <xf numFmtId="49" fontId="1" fillId="12" borderId="55" xfId="3" applyNumberFormat="1" applyFont="1" applyFill="1" applyBorder="1" applyAlignment="1" applyProtection="1">
      <alignment horizontal="left" vertical="top" wrapText="1"/>
    </xf>
    <xf numFmtId="49" fontId="1" fillId="12" borderId="56" xfId="0" applyNumberFormat="1" applyFont="1" applyFill="1" applyBorder="1" applyAlignment="1" applyProtection="1">
      <alignment horizontal="left" vertical="top" shrinkToFit="1"/>
    </xf>
    <xf numFmtId="49" fontId="1" fillId="12" borderId="57" xfId="0" applyNumberFormat="1" applyFont="1" applyFill="1" applyBorder="1" applyAlignment="1" applyProtection="1">
      <alignment horizontal="left" vertical="top" shrinkToFit="1"/>
    </xf>
    <xf numFmtId="49" fontId="1" fillId="12" borderId="58" xfId="5" applyNumberFormat="1" applyFont="1" applyFill="1" applyBorder="1" applyAlignment="1" applyProtection="1">
      <alignment horizontal="left" vertical="top" wrapText="1"/>
    </xf>
    <xf numFmtId="0" fontId="18" fillId="0" borderId="0" xfId="3" applyFont="1" applyFill="1" applyBorder="1" applyAlignment="1" applyProtection="1">
      <alignment horizontal="left" vertical="top" wrapText="1"/>
    </xf>
    <xf numFmtId="169" fontId="18" fillId="0" borderId="0" xfId="3" applyNumberFormat="1" applyFont="1" applyFill="1" applyBorder="1" applyAlignment="1" applyProtection="1">
      <alignment horizontal="left" vertical="top" wrapText="1"/>
    </xf>
    <xf numFmtId="49" fontId="1" fillId="12" borderId="56" xfId="3" applyNumberFormat="1" applyFont="1" applyFill="1" applyBorder="1" applyAlignment="1" applyProtection="1">
      <alignment horizontal="left" vertical="top" wrapText="1"/>
    </xf>
    <xf numFmtId="49" fontId="1" fillId="12" borderId="59" xfId="5" applyNumberFormat="1" applyFont="1" applyFill="1" applyBorder="1" applyAlignment="1" applyProtection="1">
      <alignment horizontal="left" vertical="top" wrapText="1"/>
    </xf>
    <xf numFmtId="9" fontId="1" fillId="0" borderId="22" xfId="5" applyFont="1" applyFill="1" applyBorder="1" applyAlignment="1" applyProtection="1">
      <alignment horizontal="center"/>
    </xf>
    <xf numFmtId="0" fontId="2" fillId="4" borderId="17" xfId="3" applyFont="1" applyFill="1" applyBorder="1" applyAlignment="1" applyProtection="1">
      <alignment horizontal="center"/>
    </xf>
    <xf numFmtId="42" fontId="2" fillId="4" borderId="17" xfId="2" applyNumberFormat="1" applyFont="1" applyFill="1" applyBorder="1" applyProtection="1"/>
    <xf numFmtId="9" fontId="2" fillId="4" borderId="17" xfId="5" applyFont="1" applyFill="1" applyBorder="1" applyAlignment="1" applyProtection="1">
      <alignment horizontal="center"/>
    </xf>
    <xf numFmtId="42" fontId="2" fillId="4" borderId="60" xfId="2" applyNumberFormat="1" applyFont="1" applyFill="1" applyBorder="1" applyProtection="1"/>
    <xf numFmtId="0" fontId="1" fillId="12" borderId="29" xfId="0" applyFont="1" applyFill="1" applyBorder="1" applyProtection="1"/>
    <xf numFmtId="0" fontId="1" fillId="12" borderId="26" xfId="2" applyNumberFormat="1" applyFont="1" applyFill="1" applyBorder="1" applyProtection="1"/>
    <xf numFmtId="42" fontId="1" fillId="0" borderId="21" xfId="2" applyNumberFormat="1" applyFont="1" applyBorder="1" applyProtection="1"/>
    <xf numFmtId="0" fontId="3" fillId="4" borderId="16" xfId="3" applyFont="1" applyFill="1" applyBorder="1" applyAlignment="1" applyProtection="1">
      <alignment horizontal="left"/>
    </xf>
    <xf numFmtId="0" fontId="3" fillId="4" borderId="17" xfId="3" applyFont="1" applyFill="1" applyBorder="1" applyProtection="1"/>
    <xf numFmtId="42" fontId="3" fillId="8" borderId="30" xfId="2" applyNumberFormat="1" applyFont="1" applyFill="1" applyBorder="1" applyProtection="1"/>
    <xf numFmtId="42" fontId="3" fillId="8" borderId="17" xfId="2" applyNumberFormat="1" applyFont="1" applyFill="1" applyBorder="1" applyAlignment="1" applyProtection="1">
      <alignment horizontal="center"/>
    </xf>
    <xf numFmtId="42" fontId="3" fillId="8" borderId="31" xfId="2" applyNumberFormat="1" applyFont="1" applyFill="1" applyBorder="1" applyProtection="1"/>
    <xf numFmtId="0" fontId="13" fillId="0" borderId="0" xfId="3" applyFont="1" applyAlignment="1" applyProtection="1">
      <alignment horizontal="left" vertical="center"/>
    </xf>
    <xf numFmtId="0" fontId="2" fillId="0" borderId="0" xfId="3" applyFont="1" applyAlignment="1" applyProtection="1">
      <alignment horizontal="center" vertical="center" wrapText="1"/>
    </xf>
    <xf numFmtId="0" fontId="2" fillId="0" borderId="0" xfId="3" applyFont="1" applyAlignment="1" applyProtection="1">
      <alignment horizontal="center" vertical="center" textRotation="90" wrapText="1"/>
    </xf>
    <xf numFmtId="0" fontId="1" fillId="0" borderId="0" xfId="3" applyAlignment="1" applyProtection="1">
      <alignment vertical="center" textRotation="90" wrapText="1"/>
    </xf>
    <xf numFmtId="0" fontId="1" fillId="0" borderId="0" xfId="3" applyAlignment="1" applyProtection="1">
      <alignment vertical="center" wrapText="1"/>
    </xf>
    <xf numFmtId="0" fontId="1" fillId="0" borderId="0" xfId="3" applyAlignment="1" applyProtection="1">
      <alignment vertical="center"/>
    </xf>
    <xf numFmtId="0" fontId="13" fillId="0" borderId="0" xfId="3" applyFont="1" applyAlignment="1" applyProtection="1">
      <alignment horizontal="left" vertical="center" wrapText="1"/>
    </xf>
    <xf numFmtId="0" fontId="13" fillId="0" borderId="0" xfId="3" applyFont="1" applyAlignment="1" applyProtection="1">
      <alignment horizontal="center" vertical="center" wrapText="1"/>
    </xf>
    <xf numFmtId="0" fontId="2" fillId="0" borderId="0" xfId="3" applyFont="1" applyAlignment="1" applyProtection="1">
      <alignment horizontal="center" vertical="center"/>
    </xf>
    <xf numFmtId="0" fontId="22" fillId="4" borderId="14" xfId="3" applyFont="1" applyFill="1" applyBorder="1" applyAlignment="1" applyProtection="1">
      <alignment horizontal="left" vertical="center" wrapText="1"/>
    </xf>
    <xf numFmtId="0" fontId="22" fillId="4" borderId="14" xfId="3" applyFont="1" applyFill="1" applyBorder="1" applyAlignment="1" applyProtection="1">
      <alignment horizontal="center" vertical="center" wrapText="1"/>
    </xf>
    <xf numFmtId="0" fontId="4" fillId="0" borderId="0" xfId="3" applyFont="1" applyAlignment="1" applyProtection="1">
      <alignment vertical="center" wrapText="1"/>
    </xf>
    <xf numFmtId="0" fontId="4" fillId="0" borderId="0" xfId="3" applyFont="1" applyAlignment="1" applyProtection="1">
      <alignment vertical="center"/>
    </xf>
    <xf numFmtId="0" fontId="4" fillId="0" borderId="14" xfId="0" applyFont="1" applyBorder="1" applyAlignment="1" applyProtection="1">
      <alignment horizontal="right" vertical="center"/>
    </xf>
    <xf numFmtId="1" fontId="4" fillId="12" borderId="14" xfId="3" applyNumberFormat="1" applyFont="1" applyFill="1" applyBorder="1" applyAlignment="1" applyProtection="1">
      <alignment horizontal="center" vertical="center" wrapText="1"/>
    </xf>
    <xf numFmtId="0" fontId="4" fillId="0" borderId="0" xfId="3" applyFont="1" applyAlignment="1" applyProtection="1">
      <alignment horizontal="right" vertical="center"/>
    </xf>
    <xf numFmtId="0" fontId="4" fillId="0" borderId="0" xfId="3" applyFont="1" applyAlignment="1" applyProtection="1">
      <alignment horizontal="center" vertical="center" wrapText="1"/>
    </xf>
    <xf numFmtId="0" fontId="3" fillId="0" borderId="14" xfId="0" applyFont="1" applyBorder="1" applyAlignment="1" applyProtection="1">
      <alignment horizontal="right" vertical="center"/>
    </xf>
    <xf numFmtId="1" fontId="3" fillId="0" borderId="14" xfId="3" applyNumberFormat="1" applyFont="1" applyBorder="1" applyAlignment="1" applyProtection="1">
      <alignment horizontal="center" vertical="center" wrapText="1"/>
    </xf>
    <xf numFmtId="0" fontId="23" fillId="0" borderId="14" xfId="3" applyFont="1" applyBorder="1" applyAlignment="1" applyProtection="1">
      <alignment horizontal="right" vertical="center"/>
    </xf>
    <xf numFmtId="0" fontId="23" fillId="0" borderId="14" xfId="3" quotePrefix="1" applyFont="1" applyBorder="1" applyAlignment="1" applyProtection="1">
      <alignment horizontal="right" vertical="center"/>
    </xf>
    <xf numFmtId="0" fontId="22" fillId="0" borderId="14" xfId="3" applyFont="1" applyBorder="1" applyAlignment="1" applyProtection="1">
      <alignment horizontal="right" vertical="center"/>
    </xf>
    <xf numFmtId="1" fontId="22" fillId="0" borderId="14" xfId="3" applyNumberFormat="1" applyFont="1" applyBorder="1" applyAlignment="1" applyProtection="1">
      <alignment horizontal="center" vertical="center" wrapText="1"/>
    </xf>
    <xf numFmtId="0" fontId="1" fillId="0" borderId="0" xfId="3" applyAlignment="1" applyProtection="1">
      <alignment horizontal="center" vertical="center"/>
    </xf>
    <xf numFmtId="0" fontId="1" fillId="0" borderId="0" xfId="3" applyAlignment="1" applyProtection="1">
      <alignment horizontal="center" vertical="center" wrapText="1"/>
    </xf>
    <xf numFmtId="0" fontId="22" fillId="4" borderId="45" xfId="3" applyFont="1" applyFill="1" applyBorder="1" applyAlignment="1" applyProtection="1">
      <alignment horizontal="center" vertical="center"/>
    </xf>
    <xf numFmtId="0" fontId="22" fillId="4" borderId="46" xfId="3" applyFont="1" applyFill="1" applyBorder="1" applyAlignment="1" applyProtection="1">
      <alignment horizontal="center" vertical="center"/>
    </xf>
    <xf numFmtId="0" fontId="4" fillId="0" borderId="0" xfId="3" applyFont="1" applyAlignment="1" applyProtection="1">
      <alignment horizontal="center" vertical="center"/>
    </xf>
    <xf numFmtId="44" fontId="4" fillId="12" borderId="14" xfId="2" applyFont="1" applyFill="1" applyBorder="1" applyAlignment="1" applyProtection="1">
      <alignment horizontal="center" vertical="center" wrapText="1"/>
    </xf>
    <xf numFmtId="0" fontId="6" fillId="0" borderId="0" xfId="3" applyFont="1" applyAlignment="1" applyProtection="1">
      <alignment vertical="top"/>
    </xf>
    <xf numFmtId="0" fontId="29" fillId="0" borderId="12" xfId="3" applyFont="1" applyBorder="1" applyAlignment="1" applyProtection="1">
      <alignment horizontal="justify" vertical="center" wrapText="1"/>
    </xf>
    <xf numFmtId="0" fontId="1" fillId="0" borderId="12" xfId="3" applyBorder="1" applyProtection="1"/>
    <xf numFmtId="0" fontId="3" fillId="13" borderId="15" xfId="3" applyFont="1" applyFill="1" applyBorder="1" applyAlignment="1" applyProtection="1">
      <alignment horizontal="center" wrapText="1"/>
    </xf>
    <xf numFmtId="0" fontId="32" fillId="0" borderId="0" xfId="3" applyFont="1" applyAlignment="1" applyProtection="1">
      <alignment horizontal="center" wrapText="1"/>
    </xf>
    <xf numFmtId="0" fontId="18" fillId="0" borderId="0" xfId="3" applyFont="1" applyAlignment="1" applyProtection="1">
      <alignment horizontal="center" wrapText="1"/>
    </xf>
    <xf numFmtId="0" fontId="32" fillId="0" borderId="0" xfId="3" applyFont="1" applyProtection="1"/>
    <xf numFmtId="0" fontId="31" fillId="0" borderId="0" xfId="3" applyFont="1" applyAlignment="1" applyProtection="1">
      <alignment horizontal="left"/>
    </xf>
    <xf numFmtId="0" fontId="3" fillId="0" borderId="0" xfId="3" applyFont="1" applyAlignment="1" applyProtection="1">
      <alignment horizontal="center" wrapText="1"/>
    </xf>
    <xf numFmtId="0" fontId="3" fillId="0" borderId="0" xfId="3" applyFont="1" applyAlignment="1" applyProtection="1">
      <alignment horizontal="center"/>
    </xf>
    <xf numFmtId="0" fontId="4" fillId="12" borderId="0" xfId="3" applyFont="1" applyFill="1" applyProtection="1"/>
    <xf numFmtId="0" fontId="4" fillId="12" borderId="12" xfId="3" applyFont="1" applyFill="1" applyBorder="1" applyProtection="1"/>
    <xf numFmtId="0" fontId="4" fillId="12" borderId="15" xfId="3" applyFont="1" applyFill="1" applyBorder="1" applyProtection="1"/>
    <xf numFmtId="0" fontId="4" fillId="0" borderId="0" xfId="3" applyFont="1" applyProtection="1"/>
    <xf numFmtId="0" fontId="4" fillId="0" borderId="0" xfId="3" applyFont="1" applyAlignment="1" applyProtection="1">
      <alignment wrapText="1"/>
    </xf>
    <xf numFmtId="0" fontId="4" fillId="0" borderId="48" xfId="3" applyFont="1" applyBorder="1" applyProtection="1"/>
    <xf numFmtId="0" fontId="1" fillId="0" borderId="0" xfId="3" applyAlignment="1" applyProtection="1">
      <alignment wrapText="1"/>
    </xf>
    <xf numFmtId="0" fontId="1" fillId="0" borderId="48" xfId="3" applyBorder="1" applyProtection="1"/>
    <xf numFmtId="42" fontId="3" fillId="12" borderId="12" xfId="3" applyNumberFormat="1" applyFont="1" applyFill="1" applyBorder="1" applyProtection="1"/>
    <xf numFmtId="0" fontId="1" fillId="12" borderId="12" xfId="3" applyFill="1" applyBorder="1" applyProtection="1"/>
    <xf numFmtId="0" fontId="1" fillId="0" borderId="0" xfId="3" applyAlignment="1" applyProtection="1">
      <alignment horizontal="left" wrapText="1"/>
    </xf>
    <xf numFmtId="42" fontId="1" fillId="12" borderId="22" xfId="2" applyNumberFormat="1" applyFont="1" applyFill="1" applyBorder="1" applyProtection="1"/>
    <xf numFmtId="171" fontId="1" fillId="12" borderId="22" xfId="2" applyNumberFormat="1" applyFont="1" applyFill="1" applyBorder="1" applyProtection="1"/>
    <xf numFmtId="164" fontId="1" fillId="12" borderId="22" xfId="2" applyNumberFormat="1" applyFont="1" applyFill="1" applyBorder="1" applyProtection="1"/>
    <xf numFmtId="0" fontId="4" fillId="12" borderId="12" xfId="3" applyFont="1" applyFill="1" applyBorder="1" applyAlignment="1" applyProtection="1">
      <alignment wrapText="1"/>
    </xf>
    <xf numFmtId="0" fontId="1" fillId="0" borderId="0" xfId="3" applyProtection="1"/>
    <xf numFmtId="9" fontId="1" fillId="14" borderId="21" xfId="5" applyFont="1" applyFill="1" applyBorder="1" applyAlignment="1" applyProtection="1">
      <alignment horizontal="center"/>
    </xf>
    <xf numFmtId="166" fontId="1" fillId="0" borderId="0" xfId="1" applyNumberFormat="1" applyFont="1" applyFill="1" applyBorder="1" applyProtection="1"/>
    <xf numFmtId="0" fontId="6" fillId="15" borderId="0" xfId="3" applyFont="1" applyFill="1" applyBorder="1" applyAlignment="1" applyProtection="1">
      <alignment horizontal="center"/>
    </xf>
    <xf numFmtId="166" fontId="1" fillId="0" borderId="0" xfId="3" applyNumberFormat="1" applyFont="1" applyFill="1" applyBorder="1" applyProtection="1"/>
    <xf numFmtId="49" fontId="1" fillId="0" borderId="0" xfId="3" applyNumberFormat="1" applyFont="1" applyFill="1" applyBorder="1" applyAlignment="1" applyProtection="1">
      <alignment horizontal="left" vertical="center" wrapText="1"/>
      <protection locked="0"/>
    </xf>
    <xf numFmtId="42" fontId="1" fillId="0" borderId="0" xfId="3" applyNumberFormat="1" applyFont="1" applyFill="1" applyBorder="1" applyProtection="1"/>
    <xf numFmtId="42" fontId="1" fillId="6" borderId="21" xfId="2" applyNumberFormat="1" applyFont="1" applyFill="1" applyBorder="1" applyProtection="1"/>
    <xf numFmtId="42" fontId="1" fillId="6" borderId="22" xfId="2" applyNumberFormat="1" applyFont="1" applyFill="1" applyBorder="1" applyProtection="1"/>
    <xf numFmtId="42" fontId="1" fillId="6" borderId="19" xfId="2" applyNumberFormat="1" applyFont="1" applyFill="1" applyBorder="1" applyProtection="1"/>
    <xf numFmtId="1" fontId="4" fillId="6" borderId="14" xfId="3" applyNumberFormat="1" applyFont="1" applyFill="1" applyBorder="1" applyAlignment="1" applyProtection="1">
      <alignment horizontal="center" vertical="center" wrapText="1"/>
    </xf>
    <xf numFmtId="1" fontId="23" fillId="6" borderId="14" xfId="3" applyNumberFormat="1" applyFont="1" applyFill="1" applyBorder="1" applyAlignment="1" applyProtection="1">
      <alignment vertical="center" wrapText="1"/>
    </xf>
    <xf numFmtId="1" fontId="23" fillId="6" borderId="14" xfId="3" applyNumberFormat="1" applyFont="1" applyFill="1" applyBorder="1" applyAlignment="1" applyProtection="1">
      <alignment horizontal="center" vertical="center" wrapText="1"/>
    </xf>
    <xf numFmtId="1" fontId="23" fillId="6" borderId="14" xfId="3" quotePrefix="1" applyNumberFormat="1" applyFont="1" applyFill="1" applyBorder="1" applyAlignment="1" applyProtection="1">
      <alignment vertical="center" wrapText="1"/>
    </xf>
    <xf numFmtId="1" fontId="34" fillId="6" borderId="14" xfId="3" applyNumberFormat="1" applyFont="1" applyFill="1" applyBorder="1" applyAlignment="1" applyProtection="1">
      <alignment horizontal="center" vertical="center" wrapText="1"/>
    </xf>
    <xf numFmtId="49" fontId="35" fillId="12" borderId="50" xfId="3" applyNumberFormat="1" applyFont="1" applyFill="1" applyBorder="1" applyAlignment="1" applyProtection="1">
      <alignment horizontal="left" vertical="top"/>
    </xf>
    <xf numFmtId="0" fontId="12" fillId="12" borderId="12" xfId="3" applyFont="1" applyFill="1" applyBorder="1" applyProtection="1"/>
    <xf numFmtId="42" fontId="1" fillId="6" borderId="12" xfId="2" applyNumberFormat="1" applyFont="1" applyFill="1" applyBorder="1" applyProtection="1"/>
    <xf numFmtId="42" fontId="1" fillId="6" borderId="36" xfId="3" applyNumberFormat="1" applyFont="1" applyFill="1" applyBorder="1" applyProtection="1"/>
    <xf numFmtId="41" fontId="21" fillId="5" borderId="0" xfId="3" applyNumberFormat="1" applyFont="1" applyFill="1" applyAlignment="1">
      <alignment horizontal="center" wrapText="1"/>
    </xf>
    <xf numFmtId="41" fontId="21" fillId="5" borderId="7" xfId="3" applyNumberFormat="1" applyFont="1" applyFill="1" applyBorder="1" applyAlignment="1">
      <alignment horizontal="center" wrapText="1"/>
    </xf>
    <xf numFmtId="0" fontId="13" fillId="0" borderId="0" xfId="3" applyFont="1" applyAlignment="1" applyProtection="1">
      <alignment vertical="top"/>
    </xf>
    <xf numFmtId="0" fontId="3" fillId="13" borderId="12" xfId="3" applyFont="1" applyFill="1" applyBorder="1" applyAlignment="1" applyProtection="1">
      <alignment horizontal="center" wrapText="1"/>
    </xf>
    <xf numFmtId="0" fontId="13" fillId="0" borderId="0" xfId="3" applyFont="1" applyAlignment="1" applyProtection="1">
      <alignment vertical="top"/>
    </xf>
    <xf numFmtId="0" fontId="1" fillId="0" borderId="0" xfId="3" applyAlignment="1">
      <alignment horizontal="left" vertical="center" wrapText="1"/>
    </xf>
    <xf numFmtId="0" fontId="13" fillId="0" borderId="0" xfId="3" applyFont="1" applyAlignment="1">
      <alignment horizontal="center"/>
    </xf>
    <xf numFmtId="0" fontId="17" fillId="11"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0" fontId="1" fillId="0" borderId="0" xfId="3" applyFont="1" applyFill="1" applyAlignment="1">
      <alignment horizontal="left" vertical="center" wrapText="1"/>
    </xf>
    <xf numFmtId="0" fontId="1" fillId="0" borderId="0" xfId="3" applyFill="1" applyAlignment="1">
      <alignment horizontal="left" vertical="center" wrapText="1" indent="1"/>
    </xf>
    <xf numFmtId="0" fontId="22" fillId="4" borderId="46" xfId="3" applyFont="1" applyFill="1" applyBorder="1" applyAlignment="1" applyProtection="1">
      <alignment horizontal="left" vertical="center" wrapText="1"/>
    </xf>
    <xf numFmtId="0" fontId="22" fillId="4" borderId="49" xfId="3" applyFont="1" applyFill="1" applyBorder="1" applyAlignment="1" applyProtection="1">
      <alignment horizontal="left" vertical="center" wrapText="1"/>
    </xf>
    <xf numFmtId="0" fontId="22" fillId="4" borderId="47" xfId="3" applyFont="1" applyFill="1" applyBorder="1" applyAlignment="1" applyProtection="1">
      <alignment horizontal="center" vertical="center" wrapText="1"/>
    </xf>
    <xf numFmtId="0" fontId="22" fillId="4" borderId="15" xfId="3" applyFont="1" applyFill="1" applyBorder="1" applyAlignment="1" applyProtection="1">
      <alignment horizontal="center" vertical="center" wrapText="1"/>
    </xf>
    <xf numFmtId="0" fontId="22" fillId="4" borderId="45" xfId="3" applyFont="1" applyFill="1" applyBorder="1" applyAlignment="1" applyProtection="1">
      <alignment horizontal="center" vertical="center" wrapText="1"/>
    </xf>
    <xf numFmtId="41" fontId="21" fillId="5" borderId="0" xfId="3" applyNumberFormat="1" applyFont="1" applyFill="1" applyAlignment="1">
      <alignment horizontal="center" wrapText="1"/>
    </xf>
    <xf numFmtId="41" fontId="21" fillId="5" borderId="7" xfId="3" applyNumberFormat="1" applyFont="1" applyFill="1" applyBorder="1" applyAlignment="1">
      <alignment horizontal="center" wrapText="1"/>
    </xf>
    <xf numFmtId="0" fontId="3" fillId="0" borderId="0" xfId="3" applyFont="1" applyAlignment="1" applyProtection="1"/>
    <xf numFmtId="0" fontId="1" fillId="0" borderId="0" xfId="3" applyAlignment="1" applyProtection="1"/>
    <xf numFmtId="0" fontId="13" fillId="0" borderId="0" xfId="3" applyFont="1" applyAlignment="1" applyProtection="1">
      <alignment vertical="top"/>
    </xf>
    <xf numFmtId="0" fontId="33" fillId="0" borderId="0" xfId="3" applyFont="1" applyAlignment="1" applyProtection="1"/>
    <xf numFmtId="0" fontId="4" fillId="0" borderId="47" xfId="3" applyFont="1" applyBorder="1" applyAlignment="1" applyProtection="1">
      <alignment horizontal="justify" vertical="center" wrapText="1"/>
    </xf>
    <xf numFmtId="0" fontId="4" fillId="0" borderId="15" xfId="3" applyFont="1" applyBorder="1" applyAlignment="1" applyProtection="1"/>
    <xf numFmtId="0" fontId="3" fillId="13" borderId="12" xfId="3" applyFont="1" applyFill="1" applyBorder="1" applyAlignment="1" applyProtection="1">
      <alignment horizontal="center" wrapText="1"/>
    </xf>
    <xf numFmtId="0" fontId="1" fillId="13" borderId="12" xfId="3" applyFill="1" applyBorder="1" applyAlignment="1" applyProtection="1">
      <alignment horizontal="center" wrapText="1"/>
    </xf>
    <xf numFmtId="0" fontId="12" fillId="0" borderId="0" xfId="3" applyFont="1" applyAlignment="1" applyProtection="1"/>
    <xf numFmtId="9" fontId="4" fillId="0" borderId="0" xfId="5" applyFont="1" applyAlignment="1" applyProtection="1">
      <alignment vertical="center"/>
    </xf>
    <xf numFmtId="9" fontId="4" fillId="0" borderId="0" xfId="5" applyNumberFormat="1" applyFont="1" applyAlignment="1" applyProtection="1">
      <alignment vertical="center"/>
    </xf>
    <xf numFmtId="0" fontId="36" fillId="0" borderId="0" xfId="6" applyAlignment="1" applyProtection="1">
      <alignment vertical="center"/>
    </xf>
    <xf numFmtId="2" fontId="1" fillId="12" borderId="21" xfId="0" applyNumberFormat="1" applyFont="1" applyFill="1" applyBorder="1" applyAlignment="1" applyProtection="1">
      <alignment horizontal="center" vertical="top" shrinkToFit="1"/>
    </xf>
    <xf numFmtId="2" fontId="2" fillId="4" borderId="42" xfId="3" applyNumberFormat="1" applyFont="1" applyFill="1" applyBorder="1" applyAlignment="1" applyProtection="1">
      <alignment horizontal="right"/>
    </xf>
  </cellXfs>
  <cellStyles count="7">
    <cellStyle name="Comma" xfId="1" builtinId="3"/>
    <cellStyle name="Currency" xfId="2" builtinId="4"/>
    <cellStyle name="Hyperlink" xfId="6" builtinId="8"/>
    <cellStyle name="Normal" xfId="0" builtinId="0"/>
    <cellStyle name="Normal 2" xfId="3" xr:uid="{00000000-0005-0000-0000-000003000000}"/>
    <cellStyle name="Normal 3" xfId="4" xr:uid="{00000000-0005-0000-0000-000004000000}"/>
    <cellStyle name="Percent" xfId="5" builtinId="5"/>
  </cellStyles>
  <dxfs count="70">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18</xdr:row>
      <xdr:rowOff>0</xdr:rowOff>
    </xdr:to>
    <xdr:sp macro="" textlink="">
      <xdr:nvSpPr>
        <xdr:cNvPr id="2"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200-000002000000}"/>
            </a:ext>
          </a:extLst>
        </xdr:cNvPr>
        <xdr:cNvSpPr/>
      </xdr:nvSpPr>
      <xdr:spPr bwMode="auto">
        <a:xfrm>
          <a:off x="228600" y="3257550"/>
          <a:ext cx="28575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21</xdr:row>
      <xdr:rowOff>47625</xdr:rowOff>
    </xdr:to>
    <xdr:sp macro="" textlink="">
      <xdr:nvSpPr>
        <xdr:cNvPr id="3"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200-000003000000}"/>
            </a:ext>
          </a:extLst>
        </xdr:cNvPr>
        <xdr:cNvSpPr/>
      </xdr:nvSpPr>
      <xdr:spPr bwMode="auto">
        <a:xfrm>
          <a:off x="228600" y="335280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18</xdr:row>
      <xdr:rowOff>0</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200-000004000000}"/>
            </a:ext>
          </a:extLst>
        </xdr:cNvPr>
        <xdr:cNvSpPr/>
      </xdr:nvSpPr>
      <xdr:spPr bwMode="auto">
        <a:xfrm>
          <a:off x="228600" y="3257550"/>
          <a:ext cx="28575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21</xdr:row>
      <xdr:rowOff>47625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200-000005000000}"/>
            </a:ext>
          </a:extLst>
        </xdr:cNvPr>
        <xdr:cNvSpPr/>
      </xdr:nvSpPr>
      <xdr:spPr bwMode="auto">
        <a:xfrm>
          <a:off x="228600" y="335280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3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47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17</xdr:row>
      <xdr:rowOff>76200</xdr:rowOff>
    </xdr:from>
    <xdr:to>
      <xdr:col>0</xdr:col>
      <xdr:colOff>514350</xdr:colOff>
      <xdr:row>22</xdr:row>
      <xdr:rowOff>47625</xdr:rowOff>
    </xdr:to>
    <xdr:sp macro="" textlink="">
      <xdr:nvSpPr>
        <xdr:cNvPr id="4" name="Check Box 3" hidden="1">
          <a:extLst>
            <a:ext uri="{63B3BB69-23CF-44E3-9099-C40C66FF867C}">
              <a14:compatExt xmlns:a14="http://schemas.microsoft.com/office/drawing/2010/main" spid="_x0000_s31747"/>
            </a:ext>
            <a:ext uri="{FF2B5EF4-FFF2-40B4-BE49-F238E27FC236}">
              <a16:creationId xmlns:a16="http://schemas.microsoft.com/office/drawing/2014/main" id="{00000000-0008-0000-0100-000004000000}"/>
            </a:ext>
          </a:extLst>
        </xdr:cNvPr>
        <xdr:cNvSpPr/>
      </xdr:nvSpPr>
      <xdr:spPr bwMode="auto">
        <a:xfrm>
          <a:off x="228600" y="3257550"/>
          <a:ext cx="28575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123825</xdr:rowOff>
    </xdr:to>
    <xdr:sp macro="" textlink="">
      <xdr:nvSpPr>
        <xdr:cNvPr id="5" name="Check Box 4" hidden="1">
          <a:extLst>
            <a:ext uri="{63B3BB69-23CF-44E3-9099-C40C66FF867C}">
              <a14:compatExt xmlns:a14="http://schemas.microsoft.com/office/drawing/2010/main" spid="_x0000_s31748"/>
            </a:ext>
            <a:ext uri="{FF2B5EF4-FFF2-40B4-BE49-F238E27FC236}">
              <a16:creationId xmlns:a16="http://schemas.microsoft.com/office/drawing/2014/main" id="{00000000-0008-0000-0100-000005000000}"/>
            </a:ext>
          </a:extLst>
        </xdr:cNvPr>
        <xdr:cNvSpPr/>
      </xdr:nvSpPr>
      <xdr:spPr bwMode="auto">
        <a:xfrm>
          <a:off x="228600" y="3590925"/>
          <a:ext cx="285750" cy="2905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10</xdr:row>
      <xdr:rowOff>63465</xdr:rowOff>
    </xdr:to>
    <xdr:sp macro="" textlink="">
      <xdr:nvSpPr>
        <xdr:cNvPr id="2" name="EsriDoNotEdit">
          <a:extLst>
            <a:ext uri="{FF2B5EF4-FFF2-40B4-BE49-F238E27FC236}">
              <a16:creationId xmlns:a16="http://schemas.microsoft.com/office/drawing/2014/main" id="{00000000-0008-0000-06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sheetPr>
  <dimension ref="A1:F39"/>
  <sheetViews>
    <sheetView tabSelected="1" zoomScale="80" zoomScaleNormal="8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68" customFormat="1" ht="18" x14ac:dyDescent="0.25">
      <c r="A1" s="347" t="s">
        <v>0</v>
      </c>
      <c r="B1" s="347"/>
      <c r="C1" s="347"/>
    </row>
    <row r="2" spans="1:3" ht="18" x14ac:dyDescent="0.25">
      <c r="A2" s="347" t="s">
        <v>1</v>
      </c>
      <c r="B2" s="347"/>
      <c r="C2" s="347"/>
    </row>
    <row r="3" spans="1:3" s="39" customFormat="1" ht="13.5" thickBot="1" x14ac:dyDescent="0.25">
      <c r="A3" s="1"/>
      <c r="B3" s="1"/>
      <c r="C3" s="1"/>
    </row>
    <row r="4" spans="1:3" ht="15.75" thickBot="1" x14ac:dyDescent="0.25">
      <c r="A4" s="67" t="s">
        <v>2</v>
      </c>
      <c r="B4" s="66" t="s">
        <v>3</v>
      </c>
      <c r="C4" s="66" t="s">
        <v>4</v>
      </c>
    </row>
    <row r="5" spans="1:3" ht="29.25" thickBot="1" x14ac:dyDescent="0.25">
      <c r="A5" s="65" t="s">
        <v>5</v>
      </c>
      <c r="B5" s="64" t="s">
        <v>6</v>
      </c>
      <c r="C5" s="63">
        <v>44592</v>
      </c>
    </row>
    <row r="6" spans="1:3" ht="29.25" thickBot="1" x14ac:dyDescent="0.25">
      <c r="A6" s="65" t="s">
        <v>7</v>
      </c>
      <c r="B6" s="64" t="s">
        <v>8</v>
      </c>
      <c r="C6" s="63">
        <v>44774</v>
      </c>
    </row>
    <row r="8" spans="1:3" ht="17.25" customHeight="1" x14ac:dyDescent="0.2">
      <c r="A8" s="348" t="s">
        <v>9</v>
      </c>
      <c r="B8" s="348"/>
      <c r="C8" s="348"/>
    </row>
    <row r="9" spans="1:3" ht="74.25" customHeight="1" x14ac:dyDescent="0.2">
      <c r="A9" s="346" t="s">
        <v>10</v>
      </c>
      <c r="B9" s="346"/>
      <c r="C9" s="346"/>
    </row>
    <row r="10" spans="1:3" ht="45.75" customHeight="1" x14ac:dyDescent="0.2">
      <c r="A10" s="346" t="s">
        <v>11</v>
      </c>
      <c r="B10" s="346"/>
      <c r="C10" s="346"/>
    </row>
    <row r="11" spans="1:3" ht="57" customHeight="1" x14ac:dyDescent="0.2">
      <c r="A11" s="346" t="s">
        <v>12</v>
      </c>
      <c r="B11" s="346"/>
      <c r="C11" s="346"/>
    </row>
    <row r="12" spans="1:3" ht="11.25" customHeight="1" x14ac:dyDescent="0.2">
      <c r="A12" s="346"/>
      <c r="B12" s="346"/>
      <c r="C12" s="346"/>
    </row>
    <row r="13" spans="1:3" ht="15" customHeight="1" x14ac:dyDescent="0.2">
      <c r="A13" s="348" t="s">
        <v>13</v>
      </c>
      <c r="B13" s="348"/>
      <c r="C13" s="348"/>
    </row>
    <row r="14" spans="1:3" ht="65.25" customHeight="1" x14ac:dyDescent="0.2">
      <c r="A14" s="346" t="s">
        <v>14</v>
      </c>
      <c r="B14" s="346"/>
      <c r="C14" s="346"/>
    </row>
    <row r="15" spans="1:3" s="38" customFormat="1" ht="50.25" customHeight="1" x14ac:dyDescent="0.2">
      <c r="A15" s="346" t="s">
        <v>15</v>
      </c>
      <c r="B15" s="346"/>
      <c r="C15" s="346"/>
    </row>
    <row r="16" spans="1:3" x14ac:dyDescent="0.2">
      <c r="A16" s="346"/>
      <c r="B16" s="346"/>
      <c r="C16" s="346"/>
    </row>
    <row r="17" spans="1:3" ht="16.5" customHeight="1" x14ac:dyDescent="0.2">
      <c r="A17" s="349" t="s">
        <v>16</v>
      </c>
      <c r="B17" s="349"/>
      <c r="C17" s="349"/>
    </row>
    <row r="18" spans="1:3" ht="30.75" customHeight="1" x14ac:dyDescent="0.2">
      <c r="A18" s="350" t="s">
        <v>17</v>
      </c>
      <c r="B18" s="350"/>
      <c r="C18" s="350"/>
    </row>
    <row r="19" spans="1:3" ht="30" customHeight="1" x14ac:dyDescent="0.2">
      <c r="A19" s="350" t="s">
        <v>18</v>
      </c>
      <c r="B19" s="350"/>
      <c r="C19" s="350"/>
    </row>
    <row r="20" spans="1:3" s="38" customFormat="1" ht="24.75" customHeight="1" x14ac:dyDescent="0.2">
      <c r="A20" s="350" t="s">
        <v>19</v>
      </c>
      <c r="B20" s="350"/>
      <c r="C20" s="350"/>
    </row>
    <row r="21" spans="1:3" ht="30" customHeight="1" x14ac:dyDescent="0.2">
      <c r="A21" s="350" t="s">
        <v>20</v>
      </c>
      <c r="B21" s="350"/>
      <c r="C21" s="350"/>
    </row>
    <row r="22" spans="1:3" x14ac:dyDescent="0.2">
      <c r="A22" s="346"/>
      <c r="B22" s="346"/>
      <c r="C22" s="346"/>
    </row>
    <row r="23" spans="1:3" ht="12.75" customHeight="1" x14ac:dyDescent="0.2">
      <c r="A23" s="349" t="s">
        <v>21</v>
      </c>
      <c r="B23" s="349"/>
      <c r="C23" s="349"/>
    </row>
    <row r="24" spans="1:3" s="38" customFormat="1" ht="156.75" customHeight="1" x14ac:dyDescent="0.2">
      <c r="A24" s="352" t="s">
        <v>22</v>
      </c>
      <c r="B24" s="352"/>
      <c r="C24" s="352"/>
    </row>
    <row r="25" spans="1:3" ht="160.5" customHeight="1" x14ac:dyDescent="0.2">
      <c r="A25" s="350" t="s">
        <v>23</v>
      </c>
      <c r="B25" s="350"/>
      <c r="C25" s="350"/>
    </row>
    <row r="26" spans="1:3" x14ac:dyDescent="0.2">
      <c r="A26" s="346"/>
      <c r="B26" s="346"/>
      <c r="C26" s="346"/>
    </row>
    <row r="27" spans="1:3" ht="13.5" customHeight="1" x14ac:dyDescent="0.2">
      <c r="A27" s="349" t="s">
        <v>24</v>
      </c>
      <c r="B27" s="349"/>
      <c r="C27" s="349"/>
    </row>
    <row r="28" spans="1:3" ht="54" customHeight="1" x14ac:dyDescent="0.2">
      <c r="A28" s="350" t="s">
        <v>25</v>
      </c>
      <c r="B28" s="350"/>
      <c r="C28" s="350"/>
    </row>
    <row r="29" spans="1:3" ht="31.5" customHeight="1" x14ac:dyDescent="0.2">
      <c r="A29" s="350" t="s">
        <v>26</v>
      </c>
      <c r="B29" s="350"/>
      <c r="C29" s="350"/>
    </row>
    <row r="30" spans="1:3" ht="55.5" customHeight="1" x14ac:dyDescent="0.2">
      <c r="A30" s="350" t="s">
        <v>27</v>
      </c>
      <c r="B30" s="350"/>
      <c r="C30" s="350"/>
    </row>
    <row r="31" spans="1:3" x14ac:dyDescent="0.2">
      <c r="A31" s="346"/>
      <c r="B31" s="346"/>
      <c r="C31" s="346"/>
    </row>
    <row r="32" spans="1:3" x14ac:dyDescent="0.2">
      <c r="A32" s="348" t="s">
        <v>28</v>
      </c>
      <c r="B32" s="348"/>
      <c r="C32" s="348"/>
    </row>
    <row r="33" spans="1:6" ht="43.5" customHeight="1" x14ac:dyDescent="0.2">
      <c r="A33" s="346" t="s">
        <v>29</v>
      </c>
      <c r="B33" s="346"/>
      <c r="C33" s="346"/>
    </row>
    <row r="35" spans="1:6" x14ac:dyDescent="0.2">
      <c r="A35" s="348" t="s">
        <v>30</v>
      </c>
      <c r="B35" s="348"/>
      <c r="C35" s="348"/>
    </row>
    <row r="36" spans="1:6" ht="54" customHeight="1" x14ac:dyDescent="0.2">
      <c r="A36" s="346" t="s">
        <v>31</v>
      </c>
      <c r="B36" s="346"/>
      <c r="C36" s="346"/>
    </row>
    <row r="37" spans="1:6" x14ac:dyDescent="0.2">
      <c r="A37" s="346"/>
      <c r="B37" s="346"/>
      <c r="C37" s="346"/>
    </row>
    <row r="38" spans="1:6" x14ac:dyDescent="0.2">
      <c r="A38" s="348" t="s">
        <v>32</v>
      </c>
      <c r="B38" s="348"/>
      <c r="C38" s="348"/>
    </row>
    <row r="39" spans="1:6" ht="87.75" customHeight="1" x14ac:dyDescent="0.2">
      <c r="A39" s="351" t="s">
        <v>33</v>
      </c>
      <c r="B39" s="351"/>
      <c r="C39" s="351"/>
      <c r="D39" s="100"/>
      <c r="E39" s="100"/>
      <c r="F39" s="100"/>
    </row>
  </sheetData>
  <sheetProtection algorithmName="SHA-512" hashValue="4HeoLuP+r4HT3xDUPL2c7KiSFXX8RCMz4mNS+1G+uVqdWBXOdzXA/Vdbvhtggtl7o4zFFnvfTSPj0ND3cIDPUA==" saltValue="RaOziwO2TIZ70lFEfDsNDg==" spinCount="100000" sheet="1" objects="1" scenarios="1"/>
  <mergeCells count="33">
    <mergeCell ref="A37:C37"/>
    <mergeCell ref="A38:C38"/>
    <mergeCell ref="A39:C39"/>
    <mergeCell ref="A24:C24"/>
    <mergeCell ref="A25:C25"/>
    <mergeCell ref="A26:C26"/>
    <mergeCell ref="A27:C27"/>
    <mergeCell ref="A28:C28"/>
    <mergeCell ref="A30:C30"/>
    <mergeCell ref="A31:C31"/>
    <mergeCell ref="A32:C32"/>
    <mergeCell ref="A33:C33"/>
    <mergeCell ref="A35:C35"/>
    <mergeCell ref="A36:C36"/>
    <mergeCell ref="A29:C29"/>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headerFooter>
    <oddFooter>&amp;LCity of Santa Monica
Exhibit C3 – Program Budget&amp;C&amp;P&amp;RFiscal Year 2021-22
Human Services Grants Program</oddFooter>
  </headerFooter>
  <rowBreaks count="1" manualBreakCount="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pageSetUpPr fitToPage="1"/>
  </sheetPr>
  <dimension ref="A1:AC139"/>
  <sheetViews>
    <sheetView topLeftCell="G11" workbookViewId="0">
      <pane ySplit="15" topLeftCell="A27" activePane="bottomLeft" state="frozen"/>
      <selection activeCell="A11" sqref="A11"/>
      <selection pane="bottomLeft" activeCell="N35" sqref="N35"/>
    </sheetView>
  </sheetViews>
  <sheetFormatPr defaultColWidth="8.85546875" defaultRowHeight="12.75" x14ac:dyDescent="0.2"/>
  <cols>
    <col min="1" max="1" width="33.140625" style="22" customWidth="1"/>
    <col min="2" max="2" width="32.5703125" style="22" customWidth="1"/>
    <col min="3" max="3" width="30.42578125" style="22" hidden="1" customWidth="1"/>
    <col min="4" max="4" width="11.140625" style="22" hidden="1" customWidth="1"/>
    <col min="5" max="5" width="10.85546875" style="22" hidden="1" customWidth="1"/>
    <col min="6" max="6" width="10" style="22" hidden="1" customWidth="1"/>
    <col min="7" max="9" width="14.85546875" style="22" customWidth="1"/>
    <col min="10" max="12" width="14.42578125" style="22" customWidth="1"/>
    <col min="13" max="13" width="13.85546875" style="21" bestFit="1" customWidth="1"/>
    <col min="14" max="14" width="16.7109375" style="20" customWidth="1"/>
    <col min="15" max="18" width="25" style="61" hidden="1" customWidth="1"/>
    <col min="19" max="19" width="3.5703125" style="30" customWidth="1"/>
    <col min="20" max="21" width="12.7109375" style="30" customWidth="1"/>
    <col min="22" max="22" width="12.42578125" style="30" customWidth="1"/>
    <col min="23" max="24" width="12.28515625" style="30" customWidth="1"/>
    <col min="25" max="25" width="11" style="30" customWidth="1"/>
    <col min="26" max="26" width="11.140625" style="30" customWidth="1"/>
    <col min="27" max="27" width="12.28515625" style="30" customWidth="1"/>
    <col min="28" max="28" width="5.42578125" style="30" customWidth="1"/>
    <col min="29" max="29" width="14.42578125" style="30" customWidth="1"/>
    <col min="30" max="16384" width="8.85546875" style="30"/>
  </cols>
  <sheetData>
    <row r="1" spans="1:18" ht="18" x14ac:dyDescent="0.25">
      <c r="A1" s="56" t="s">
        <v>34</v>
      </c>
      <c r="B1" s="37"/>
      <c r="C1" s="36"/>
      <c r="D1" s="36"/>
      <c r="E1" s="36"/>
      <c r="F1" s="36"/>
      <c r="G1" s="36"/>
      <c r="H1" s="36"/>
      <c r="I1" s="36"/>
      <c r="J1" s="36"/>
      <c r="K1" s="36"/>
      <c r="L1" s="36"/>
      <c r="M1" s="35"/>
      <c r="N1" s="34"/>
      <c r="O1" s="71"/>
      <c r="P1" s="71"/>
      <c r="Q1" s="71"/>
      <c r="R1" s="71"/>
    </row>
    <row r="2" spans="1:18" ht="18" x14ac:dyDescent="0.2">
      <c r="A2" s="343" t="s">
        <v>35</v>
      </c>
      <c r="B2" s="37"/>
      <c r="C2" s="36"/>
      <c r="D2" s="36"/>
      <c r="E2" s="36"/>
      <c r="F2" s="36"/>
      <c r="G2" s="36"/>
      <c r="H2" s="36"/>
      <c r="I2" s="36"/>
      <c r="J2" s="36"/>
      <c r="K2" s="36"/>
      <c r="L2" s="36"/>
      <c r="M2" s="35"/>
      <c r="N2" s="34"/>
      <c r="O2" s="71"/>
      <c r="P2" s="71"/>
      <c r="Q2" s="71"/>
      <c r="R2" s="71"/>
    </row>
    <row r="3" spans="1:18" ht="13.5" thickBot="1" x14ac:dyDescent="0.25">
      <c r="A3" s="37"/>
      <c r="B3" s="37"/>
      <c r="C3" s="36"/>
      <c r="D3" s="36"/>
      <c r="E3" s="36"/>
      <c r="F3" s="36"/>
      <c r="G3" s="36"/>
      <c r="H3" s="36"/>
      <c r="I3" s="36"/>
      <c r="J3" s="36"/>
      <c r="K3" s="36"/>
      <c r="L3" s="36"/>
      <c r="M3" s="35"/>
      <c r="N3" s="34"/>
      <c r="O3" s="71"/>
      <c r="P3" s="71"/>
      <c r="Q3" s="71"/>
      <c r="R3" s="71"/>
    </row>
    <row r="4" spans="1:18" ht="13.5" thickBot="1" x14ac:dyDescent="0.25">
      <c r="A4" s="19" t="s">
        <v>36</v>
      </c>
      <c r="B4" s="18"/>
      <c r="C4" s="18"/>
      <c r="D4" s="18"/>
      <c r="E4" s="18"/>
      <c r="F4" s="18"/>
      <c r="G4" s="18"/>
      <c r="H4" s="18"/>
      <c r="I4" s="18"/>
      <c r="J4" s="18"/>
      <c r="K4" s="18"/>
      <c r="L4" s="18"/>
      <c r="M4" s="93"/>
      <c r="N4" s="17"/>
    </row>
    <row r="5" spans="1:18" ht="33.75" x14ac:dyDescent="0.2">
      <c r="A5" s="92"/>
      <c r="B5" s="59"/>
      <c r="C5" s="59"/>
      <c r="D5" s="59"/>
      <c r="E5" s="59"/>
      <c r="F5" s="59"/>
      <c r="G5" s="101" t="s">
        <v>37</v>
      </c>
      <c r="H5" s="101" t="s">
        <v>38</v>
      </c>
      <c r="I5" s="101" t="s">
        <v>39</v>
      </c>
      <c r="J5" s="101" t="s">
        <v>40</v>
      </c>
      <c r="K5" s="101" t="s">
        <v>41</v>
      </c>
      <c r="L5" s="101" t="s">
        <v>42</v>
      </c>
      <c r="M5" s="102" t="s">
        <v>43</v>
      </c>
      <c r="N5" s="103" t="s">
        <v>44</v>
      </c>
      <c r="O5" s="72"/>
      <c r="P5" s="72"/>
      <c r="Q5" s="72"/>
      <c r="R5" s="72"/>
    </row>
    <row r="6" spans="1:18" x14ac:dyDescent="0.2">
      <c r="A6" s="130" t="s">
        <v>45</v>
      </c>
      <c r="B6" s="162" t="s">
        <v>46</v>
      </c>
      <c r="C6" s="162"/>
      <c r="D6" s="128" t="str">
        <f>A24</f>
        <v>1A.  Staff Salaries</v>
      </c>
      <c r="E6" s="30"/>
      <c r="F6" s="30"/>
      <c r="G6" s="117">
        <f t="shared" ref="G6:K6" si="0">G39</f>
        <v>457238.66666666669</v>
      </c>
      <c r="H6" s="117">
        <f t="shared" si="0"/>
        <v>243925</v>
      </c>
      <c r="I6" s="117">
        <f t="shared" si="0"/>
        <v>213313.66666666669</v>
      </c>
      <c r="J6" s="117">
        <f t="shared" si="0"/>
        <v>115263</v>
      </c>
      <c r="K6" s="117">
        <f t="shared" si="0"/>
        <v>107548</v>
      </c>
      <c r="L6" s="117">
        <f>L39</f>
        <v>222811</v>
      </c>
      <c r="M6" s="31">
        <f t="shared" ref="M6:M13" si="1">IFERROR(L6/H6,"N/A")</f>
        <v>0.91344060674387617</v>
      </c>
      <c r="N6" s="119">
        <f>N39</f>
        <v>400482</v>
      </c>
    </row>
    <row r="7" spans="1:18" x14ac:dyDescent="0.2">
      <c r="A7" s="130" t="s">
        <v>47</v>
      </c>
      <c r="B7" s="163" t="s">
        <v>48</v>
      </c>
      <c r="C7" s="163"/>
      <c r="D7" s="128" t="str">
        <f>A41</f>
        <v>1B.  Staff Fringe Benefits</v>
      </c>
      <c r="E7" s="30"/>
      <c r="F7" s="30"/>
      <c r="G7" s="117">
        <f t="shared" ref="G7:I7" si="2">G51</f>
        <v>62870.316666666673</v>
      </c>
      <c r="H7" s="117">
        <f t="shared" si="2"/>
        <v>33539.6875</v>
      </c>
      <c r="I7" s="117">
        <f t="shared" si="2"/>
        <v>29330.629166666669</v>
      </c>
      <c r="J7" s="117">
        <f>J51</f>
        <v>15741</v>
      </c>
      <c r="K7" s="117">
        <f>K51</f>
        <v>15048</v>
      </c>
      <c r="L7" s="117">
        <f>L51</f>
        <v>30789</v>
      </c>
      <c r="M7" s="31">
        <f t="shared" si="1"/>
        <v>0.91798708619452696</v>
      </c>
      <c r="N7" s="119">
        <f>N51</f>
        <v>57194</v>
      </c>
    </row>
    <row r="8" spans="1:18" x14ac:dyDescent="0.2">
      <c r="A8" s="89"/>
      <c r="B8" s="30"/>
      <c r="C8" s="30"/>
      <c r="D8" s="128" t="str">
        <f>A53</f>
        <v>2.  Consultant Services</v>
      </c>
      <c r="E8" s="30"/>
      <c r="F8" s="30"/>
      <c r="G8" s="117">
        <f t="shared" ref="G8:I8" si="3">G61</f>
        <v>9339.5919999999987</v>
      </c>
      <c r="H8" s="117">
        <f t="shared" si="3"/>
        <v>5603</v>
      </c>
      <c r="I8" s="117">
        <f t="shared" si="3"/>
        <v>3736.5919999999987</v>
      </c>
      <c r="J8" s="117">
        <f>J61</f>
        <v>3042</v>
      </c>
      <c r="K8" s="117">
        <f>K61</f>
        <v>4304</v>
      </c>
      <c r="L8" s="117">
        <f>L61</f>
        <v>7346</v>
      </c>
      <c r="M8" s="31">
        <f t="shared" si="1"/>
        <v>1.311083348206318</v>
      </c>
      <c r="N8" s="119">
        <f>N61</f>
        <v>107425</v>
      </c>
    </row>
    <row r="9" spans="1:18" x14ac:dyDescent="0.2">
      <c r="A9" s="89"/>
      <c r="B9" s="30"/>
      <c r="C9" s="30"/>
      <c r="D9" s="128" t="str">
        <f>A63</f>
        <v>3.  Operating Expenses</v>
      </c>
      <c r="E9" s="30"/>
      <c r="F9" s="30"/>
      <c r="G9" s="117">
        <f t="shared" ref="G9:L9" si="4">G84</f>
        <v>83021.7641</v>
      </c>
      <c r="H9" s="117">
        <f t="shared" si="4"/>
        <v>26088</v>
      </c>
      <c r="I9" s="117">
        <f t="shared" si="4"/>
        <v>56933.7641</v>
      </c>
      <c r="J9" s="117">
        <f t="shared" si="4"/>
        <v>11455</v>
      </c>
      <c r="K9" s="117">
        <f t="shared" si="4"/>
        <v>36755</v>
      </c>
      <c r="L9" s="117">
        <f t="shared" si="4"/>
        <v>48210</v>
      </c>
      <c r="M9" s="31">
        <f t="shared" si="1"/>
        <v>1.8479760809567618</v>
      </c>
      <c r="N9" s="119">
        <f>N84</f>
        <v>142909</v>
      </c>
    </row>
    <row r="10" spans="1:18" x14ac:dyDescent="0.2">
      <c r="A10" s="27" t="s">
        <v>49</v>
      </c>
      <c r="B10" s="97" t="s">
        <v>50</v>
      </c>
      <c r="C10" s="30"/>
      <c r="D10" s="128" t="str">
        <f>A86</f>
        <v>4.  Direct Client Support</v>
      </c>
      <c r="E10" s="30"/>
      <c r="F10" s="30"/>
      <c r="G10" s="117">
        <f>G92</f>
        <v>0</v>
      </c>
      <c r="H10" s="117">
        <f t="shared" ref="H10:N10" si="5">H92</f>
        <v>0</v>
      </c>
      <c r="I10" s="117">
        <f t="shared" si="5"/>
        <v>0</v>
      </c>
      <c r="J10" s="117">
        <f t="shared" si="5"/>
        <v>0</v>
      </c>
      <c r="K10" s="117">
        <f t="shared" si="5"/>
        <v>0</v>
      </c>
      <c r="L10" s="117">
        <f t="shared" si="5"/>
        <v>0</v>
      </c>
      <c r="M10" s="31" t="str">
        <f t="shared" si="1"/>
        <v>N/A</v>
      </c>
      <c r="N10" s="119">
        <f t="shared" si="5"/>
        <v>0</v>
      </c>
    </row>
    <row r="11" spans="1:18" x14ac:dyDescent="0.2">
      <c r="A11" s="89"/>
      <c r="B11" s="30"/>
      <c r="C11" s="30"/>
      <c r="D11" s="128" t="str">
        <f>A94</f>
        <v>5.  Other</v>
      </c>
      <c r="E11" s="30"/>
      <c r="F11" s="30"/>
      <c r="G11" s="117">
        <f>G100</f>
        <v>0</v>
      </c>
      <c r="H11" s="117">
        <f t="shared" ref="H11:N11" si="6">H100</f>
        <v>0</v>
      </c>
      <c r="I11" s="117">
        <f t="shared" si="6"/>
        <v>0</v>
      </c>
      <c r="J11" s="117">
        <f t="shared" si="6"/>
        <v>0</v>
      </c>
      <c r="K11" s="117">
        <f t="shared" si="6"/>
        <v>0</v>
      </c>
      <c r="L11" s="117">
        <f t="shared" si="6"/>
        <v>0</v>
      </c>
      <c r="M11" s="31" t="str">
        <f t="shared" si="1"/>
        <v>N/A</v>
      </c>
      <c r="N11" s="119">
        <f t="shared" si="6"/>
        <v>0</v>
      </c>
    </row>
    <row r="12" spans="1:18" x14ac:dyDescent="0.2">
      <c r="A12" s="89"/>
      <c r="B12" s="30"/>
      <c r="C12" s="30"/>
      <c r="D12" s="128" t="str">
        <f>A102</f>
        <v>6.  Indirect Administrative Costs</v>
      </c>
      <c r="E12" s="30"/>
      <c r="F12" s="30"/>
      <c r="G12" s="117">
        <f>G109</f>
        <v>68585.8</v>
      </c>
      <c r="H12" s="117">
        <f t="shared" ref="H12:L12" si="7">H109</f>
        <v>36588.3125</v>
      </c>
      <c r="I12" s="117">
        <f t="shared" si="7"/>
        <v>31997.487500000003</v>
      </c>
      <c r="J12" s="117">
        <f t="shared" si="7"/>
        <v>18294</v>
      </c>
      <c r="K12" s="117">
        <f t="shared" si="7"/>
        <v>18294</v>
      </c>
      <c r="L12" s="117">
        <f t="shared" si="7"/>
        <v>36588</v>
      </c>
      <c r="M12" s="31">
        <f t="shared" si="1"/>
        <v>0.99999145902123798</v>
      </c>
      <c r="N12" s="119">
        <f>N109</f>
        <v>63452</v>
      </c>
    </row>
    <row r="13" spans="1:18" x14ac:dyDescent="0.2">
      <c r="A13" s="89" t="s">
        <v>51</v>
      </c>
      <c r="B13" s="127">
        <v>345744</v>
      </c>
      <c r="C13" s="30"/>
      <c r="D13" s="129" t="str">
        <f>C111</f>
        <v>7.   TOTAL BUDGET</v>
      </c>
      <c r="E13" s="26"/>
      <c r="F13" s="26"/>
      <c r="G13" s="118">
        <f>G111</f>
        <v>681056.13943333342</v>
      </c>
      <c r="H13" s="118">
        <f t="shared" ref="H13:L13" si="8">H111</f>
        <v>345744</v>
      </c>
      <c r="I13" s="118">
        <f t="shared" si="8"/>
        <v>335312.13943333336</v>
      </c>
      <c r="J13" s="118">
        <f t="shared" si="8"/>
        <v>163795</v>
      </c>
      <c r="K13" s="118">
        <f t="shared" si="8"/>
        <v>181949</v>
      </c>
      <c r="L13" s="118">
        <f t="shared" si="8"/>
        <v>345744</v>
      </c>
      <c r="M13" s="33">
        <f t="shared" si="1"/>
        <v>1</v>
      </c>
      <c r="N13" s="120">
        <f>N111</f>
        <v>771462</v>
      </c>
    </row>
    <row r="14" spans="1:18" x14ac:dyDescent="0.2">
      <c r="A14" s="89" t="s">
        <v>52</v>
      </c>
      <c r="B14" s="131">
        <f>L13</f>
        <v>345744</v>
      </c>
      <c r="C14" s="30"/>
      <c r="D14" s="30"/>
      <c r="E14" s="30"/>
      <c r="F14" s="30"/>
      <c r="G14" s="30"/>
      <c r="H14" s="30"/>
      <c r="I14" s="30"/>
      <c r="J14" s="30"/>
      <c r="K14" s="30"/>
      <c r="L14" s="30"/>
      <c r="M14" s="30"/>
      <c r="N14" s="104"/>
    </row>
    <row r="15" spans="1:18" x14ac:dyDescent="0.2">
      <c r="A15" s="89" t="s">
        <v>53</v>
      </c>
      <c r="B15" s="131">
        <f>B13-B14</f>
        <v>0</v>
      </c>
      <c r="C15" s="30"/>
      <c r="D15" s="30"/>
      <c r="E15" s="30"/>
      <c r="F15" s="30"/>
      <c r="G15" s="30"/>
      <c r="H15" s="30"/>
      <c r="I15" s="30"/>
      <c r="J15" s="30"/>
      <c r="K15" s="30"/>
      <c r="L15" s="30"/>
      <c r="M15" s="30"/>
      <c r="N15" s="104"/>
    </row>
    <row r="16" spans="1:18" x14ac:dyDescent="0.2">
      <c r="A16" s="89"/>
      <c r="B16" s="30"/>
      <c r="C16" s="30"/>
      <c r="D16" s="30"/>
      <c r="E16" s="30"/>
      <c r="F16" s="30"/>
      <c r="G16" s="30"/>
      <c r="H16" s="30"/>
      <c r="I16" s="30"/>
      <c r="J16" s="30"/>
      <c r="K16" s="30"/>
      <c r="L16" s="30"/>
      <c r="M16" s="30"/>
      <c r="N16" s="104"/>
    </row>
    <row r="17" spans="1:29" ht="13.5" thickBot="1" x14ac:dyDescent="0.25">
      <c r="A17" s="90"/>
      <c r="B17" s="91"/>
      <c r="C17" s="42"/>
      <c r="D17" s="91"/>
      <c r="E17" s="91"/>
      <c r="F17" s="91"/>
      <c r="G17" s="42"/>
      <c r="H17" s="42"/>
      <c r="I17" s="42"/>
      <c r="J17" s="42"/>
      <c r="K17" s="42"/>
      <c r="L17" s="42"/>
      <c r="M17" s="42"/>
      <c r="N17" s="105"/>
    </row>
    <row r="18" spans="1:29" ht="13.5" thickBot="1" x14ac:dyDescent="0.25">
      <c r="A18" s="26"/>
      <c r="B18" s="30"/>
      <c r="C18" s="30"/>
      <c r="D18" s="26"/>
      <c r="E18" s="26"/>
      <c r="F18" s="26"/>
      <c r="G18" s="69"/>
      <c r="H18" s="69"/>
      <c r="I18" s="69"/>
      <c r="J18" s="69"/>
      <c r="K18" s="69"/>
      <c r="L18" s="69"/>
      <c r="M18" s="60"/>
      <c r="N18" s="69"/>
    </row>
    <row r="19" spans="1:29" ht="13.5" hidden="1" thickBot="1" x14ac:dyDescent="0.25">
      <c r="A19" s="132" t="s">
        <v>50</v>
      </c>
      <c r="B19" s="133"/>
      <c r="C19" s="59" t="s">
        <v>54</v>
      </c>
      <c r="D19" s="109"/>
      <c r="E19" s="109"/>
      <c r="F19" s="59" t="s">
        <v>55</v>
      </c>
      <c r="G19" s="110"/>
      <c r="H19" s="110"/>
      <c r="I19" s="110"/>
      <c r="J19" s="110"/>
      <c r="K19" s="110"/>
      <c r="L19" s="110"/>
      <c r="M19" s="111"/>
      <c r="N19" s="112"/>
    </row>
    <row r="20" spans="1:29" ht="13.5" hidden="1" thickBot="1" x14ac:dyDescent="0.25">
      <c r="A20" s="134" t="s">
        <v>56</v>
      </c>
      <c r="B20" s="135"/>
      <c r="C20" s="22" t="s">
        <v>57</v>
      </c>
      <c r="D20" s="26"/>
      <c r="E20" s="26"/>
      <c r="F20" s="30" t="s">
        <v>58</v>
      </c>
      <c r="G20" s="69"/>
      <c r="H20" s="69"/>
      <c r="I20" s="69"/>
      <c r="J20" s="69"/>
      <c r="K20" s="69"/>
      <c r="L20" s="69"/>
      <c r="M20" s="60"/>
      <c r="N20" s="113"/>
    </row>
    <row r="21" spans="1:29" ht="13.5" hidden="1" thickBot="1" x14ac:dyDescent="0.25">
      <c r="A21" s="136" t="s">
        <v>59</v>
      </c>
      <c r="B21" s="137"/>
      <c r="C21" s="30" t="s">
        <v>60</v>
      </c>
      <c r="D21" s="42"/>
      <c r="E21" s="42"/>
      <c r="F21" s="42" t="s">
        <v>61</v>
      </c>
      <c r="G21" s="42"/>
      <c r="H21" s="42"/>
      <c r="I21" s="42"/>
      <c r="J21" s="42"/>
      <c r="K21" s="42"/>
      <c r="L21" s="42"/>
      <c r="M21" s="24"/>
      <c r="N21" s="114"/>
    </row>
    <row r="22" spans="1:29" ht="13.5" thickBot="1" x14ac:dyDescent="0.25">
      <c r="A22" s="19" t="s">
        <v>62</v>
      </c>
      <c r="B22" s="18"/>
      <c r="C22" s="18"/>
      <c r="D22" s="18"/>
      <c r="E22" s="18"/>
      <c r="F22" s="18"/>
      <c r="G22" s="18"/>
      <c r="H22" s="18"/>
      <c r="I22" s="18"/>
      <c r="J22" s="18"/>
      <c r="K22" s="18"/>
      <c r="L22" s="18"/>
      <c r="M22" s="93"/>
      <c r="N22" s="17"/>
    </row>
    <row r="23" spans="1:29" ht="13.5" thickBot="1" x14ac:dyDescent="0.25">
      <c r="A23" s="30"/>
      <c r="B23" s="30"/>
      <c r="C23" s="30"/>
      <c r="D23" s="30"/>
      <c r="E23" s="30"/>
      <c r="F23" s="30"/>
    </row>
    <row r="24" spans="1:29" x14ac:dyDescent="0.2">
      <c r="A24" s="81" t="s">
        <v>63</v>
      </c>
      <c r="B24" s="82"/>
      <c r="C24" s="82"/>
      <c r="D24" s="82"/>
      <c r="E24" s="82"/>
      <c r="F24" s="83"/>
      <c r="G24" s="84"/>
      <c r="H24" s="84"/>
      <c r="I24" s="84"/>
      <c r="J24" s="84"/>
      <c r="K24" s="84"/>
      <c r="L24" s="84"/>
      <c r="M24" s="85"/>
      <c r="N24" s="86"/>
    </row>
    <row r="25" spans="1:29" s="50" customFormat="1" ht="15.75" x14ac:dyDescent="0.25">
      <c r="A25" s="138" t="s">
        <v>64</v>
      </c>
      <c r="B25" s="55"/>
      <c r="C25" s="55"/>
      <c r="D25" s="55"/>
      <c r="E25" s="55"/>
      <c r="F25" s="48"/>
      <c r="G25" s="15"/>
      <c r="H25" s="15"/>
      <c r="I25" s="15"/>
      <c r="J25" s="15"/>
      <c r="K25" s="15"/>
      <c r="L25" s="15"/>
      <c r="M25" s="14"/>
      <c r="N25" s="87"/>
      <c r="O25" s="62"/>
      <c r="P25" s="62"/>
      <c r="Q25" s="62"/>
      <c r="R25" s="62"/>
      <c r="T25" s="325" t="s">
        <v>65</v>
      </c>
      <c r="U25" s="325" t="s">
        <v>66</v>
      </c>
      <c r="V25" s="325" t="s">
        <v>67</v>
      </c>
      <c r="W25" s="325" t="s">
        <v>68</v>
      </c>
      <c r="X25" s="325" t="s">
        <v>69</v>
      </c>
      <c r="Y25" s="325" t="s">
        <v>70</v>
      </c>
      <c r="Z25" s="325" t="s">
        <v>71</v>
      </c>
      <c r="AA25" s="325" t="s">
        <v>72</v>
      </c>
      <c r="AC25" s="325" t="s">
        <v>73</v>
      </c>
    </row>
    <row r="26" spans="1:29" s="50" customFormat="1" ht="33.75" x14ac:dyDescent="0.2">
      <c r="A26" s="107" t="s">
        <v>74</v>
      </c>
      <c r="B26" s="108" t="s">
        <v>75</v>
      </c>
      <c r="C26" s="32" t="s">
        <v>76</v>
      </c>
      <c r="D26" s="32" t="s">
        <v>77</v>
      </c>
      <c r="E26" s="32" t="s">
        <v>78</v>
      </c>
      <c r="F26" s="32" t="s">
        <v>79</v>
      </c>
      <c r="G26" s="32" t="s">
        <v>37</v>
      </c>
      <c r="H26" s="32" t="s">
        <v>38</v>
      </c>
      <c r="I26" s="32" t="s">
        <v>39</v>
      </c>
      <c r="J26" s="32" t="s">
        <v>40</v>
      </c>
      <c r="K26" s="32" t="s">
        <v>41</v>
      </c>
      <c r="L26" s="32" t="s">
        <v>42</v>
      </c>
      <c r="M26" s="40" t="s">
        <v>43</v>
      </c>
      <c r="N26" s="88" t="s">
        <v>44</v>
      </c>
      <c r="O26" s="72" t="s">
        <v>80</v>
      </c>
      <c r="P26" s="72" t="s">
        <v>81</v>
      </c>
      <c r="Q26" s="72" t="s">
        <v>82</v>
      </c>
      <c r="R26" s="72" t="s">
        <v>83</v>
      </c>
    </row>
    <row r="27" spans="1:29" ht="38.25" x14ac:dyDescent="0.2">
      <c r="A27" s="198" t="s">
        <v>84</v>
      </c>
      <c r="B27" s="199" t="s">
        <v>85</v>
      </c>
      <c r="C27" s="200" t="s">
        <v>54</v>
      </c>
      <c r="D27" s="201">
        <v>1</v>
      </c>
      <c r="E27" s="202">
        <v>0.1</v>
      </c>
      <c r="F27" s="203">
        <v>12</v>
      </c>
      <c r="G27" s="204">
        <f>180000*0.1</f>
        <v>18000</v>
      </c>
      <c r="H27" s="204">
        <v>6000</v>
      </c>
      <c r="I27" s="117">
        <f>G27-H27</f>
        <v>12000</v>
      </c>
      <c r="J27" s="115">
        <v>7374</v>
      </c>
      <c r="K27" s="115">
        <f>X27-J27</f>
        <v>9890</v>
      </c>
      <c r="L27" s="205">
        <f t="shared" ref="L27:L38" si="9">SUM(J27:K27)</f>
        <v>17264</v>
      </c>
      <c r="M27" s="323">
        <f t="shared" ref="M27:M39" si="10">IFERROR(L27/H27,"N/A")</f>
        <v>2.8773333333333335</v>
      </c>
      <c r="N27" s="116">
        <f>AC27</f>
        <v>21042</v>
      </c>
      <c r="O27" s="96" t="s">
        <v>86</v>
      </c>
      <c r="P27" s="206"/>
      <c r="Q27" s="96"/>
      <c r="R27" s="206"/>
      <c r="V27" s="324">
        <v>1378</v>
      </c>
      <c r="W27" s="324">
        <v>2400</v>
      </c>
      <c r="X27" s="324">
        <f>'PROGRAM BUDGET &amp; FISCAL REPORT'!L27</f>
        <v>17264</v>
      </c>
      <c r="Y27" s="324"/>
      <c r="AC27" s="326">
        <f>AA27+Z27+Y27+X27+W27+V27+U27+T27</f>
        <v>21042</v>
      </c>
    </row>
    <row r="28" spans="1:29" x14ac:dyDescent="0.2">
      <c r="A28" s="198" t="s">
        <v>87</v>
      </c>
      <c r="B28" s="199" t="s">
        <v>88</v>
      </c>
      <c r="C28" s="200" t="s">
        <v>54</v>
      </c>
      <c r="D28" s="201">
        <v>1</v>
      </c>
      <c r="E28" s="202">
        <v>0.25</v>
      </c>
      <c r="F28" s="203">
        <v>12</v>
      </c>
      <c r="G28" s="204">
        <f>135000*0.25</f>
        <v>33750</v>
      </c>
      <c r="H28" s="204">
        <f>27000-6750-4725</f>
        <v>15525</v>
      </c>
      <c r="I28" s="207">
        <f t="shared" ref="I28:I38" si="11">G28-H28</f>
        <v>18225</v>
      </c>
      <c r="J28" s="115">
        <f>8985-308</f>
        <v>8677</v>
      </c>
      <c r="K28" s="115">
        <f t="shared" ref="K28:K37" si="12">X28-J28</f>
        <v>8899</v>
      </c>
      <c r="L28" s="205">
        <f t="shared" si="9"/>
        <v>17576</v>
      </c>
      <c r="M28" s="31">
        <f t="shared" si="10"/>
        <v>1.1321095008051529</v>
      </c>
      <c r="N28" s="116">
        <f t="shared" ref="N28:N37" si="13">AC28</f>
        <v>33299</v>
      </c>
      <c r="O28" s="96"/>
      <c r="P28" s="206"/>
      <c r="Q28" s="96"/>
      <c r="R28" s="206"/>
      <c r="V28" s="324">
        <v>10998</v>
      </c>
      <c r="W28" s="324">
        <v>4725</v>
      </c>
      <c r="X28" s="324">
        <f>'PROGRAM BUDGET &amp; FISCAL REPORT'!L28</f>
        <v>17576</v>
      </c>
      <c r="Y28" s="324"/>
      <c r="AC28" s="326">
        <f t="shared" ref="AC28:AC37" si="14">AA28+Z28+Y28+X28+W28+V28+U28+T28</f>
        <v>33299</v>
      </c>
    </row>
    <row r="29" spans="1:29" ht="38.25" x14ac:dyDescent="0.2">
      <c r="A29" s="198" t="s">
        <v>89</v>
      </c>
      <c r="B29" s="199" t="s">
        <v>90</v>
      </c>
      <c r="C29" s="200" t="s">
        <v>60</v>
      </c>
      <c r="D29" s="201">
        <v>1</v>
      </c>
      <c r="E29" s="202">
        <v>1</v>
      </c>
      <c r="F29" s="203">
        <v>12</v>
      </c>
      <c r="G29" s="204">
        <f>110000*(10/12)</f>
        <v>91666.666666666672</v>
      </c>
      <c r="H29" s="204">
        <f>90000-65000-10625</f>
        <v>14375</v>
      </c>
      <c r="I29" s="207">
        <f t="shared" si="11"/>
        <v>77291.666666666672</v>
      </c>
      <c r="J29" s="115">
        <v>19265</v>
      </c>
      <c r="K29" s="115">
        <f t="shared" si="12"/>
        <v>-12005</v>
      </c>
      <c r="L29" s="205">
        <f t="shared" si="9"/>
        <v>7260</v>
      </c>
      <c r="M29" s="323">
        <f t="shared" si="10"/>
        <v>0.50504347826086959</v>
      </c>
      <c r="N29" s="116">
        <f t="shared" si="13"/>
        <v>79914</v>
      </c>
      <c r="O29" s="96" t="s">
        <v>86</v>
      </c>
      <c r="P29" s="206"/>
      <c r="Q29" s="96"/>
      <c r="R29" s="206"/>
      <c r="V29" s="324">
        <v>17654</v>
      </c>
      <c r="W29" s="324">
        <v>55000</v>
      </c>
      <c r="X29" s="324">
        <f>'PROGRAM BUDGET &amp; FISCAL REPORT'!L30</f>
        <v>7260</v>
      </c>
      <c r="Y29" s="324"/>
      <c r="AC29" s="326">
        <f t="shared" si="14"/>
        <v>79914</v>
      </c>
    </row>
    <row r="30" spans="1:29" ht="51" x14ac:dyDescent="0.2">
      <c r="A30" s="198" t="s">
        <v>91</v>
      </c>
      <c r="B30" s="199" t="s">
        <v>92</v>
      </c>
      <c r="C30" s="200" t="s">
        <v>60</v>
      </c>
      <c r="D30" s="201">
        <v>1</v>
      </c>
      <c r="E30" s="202">
        <v>1</v>
      </c>
      <c r="F30" s="203">
        <v>12</v>
      </c>
      <c r="G30" s="204">
        <f>63000</f>
        <v>63000</v>
      </c>
      <c r="H30" s="204">
        <v>41375</v>
      </c>
      <c r="I30" s="207">
        <f t="shared" si="11"/>
        <v>21625</v>
      </c>
      <c r="J30" s="115">
        <v>17581</v>
      </c>
      <c r="K30" s="115">
        <f t="shared" si="12"/>
        <v>24440</v>
      </c>
      <c r="L30" s="205">
        <f t="shared" si="9"/>
        <v>42021</v>
      </c>
      <c r="M30" s="31">
        <f t="shared" si="10"/>
        <v>1.0156132930513595</v>
      </c>
      <c r="N30" s="116">
        <f t="shared" si="13"/>
        <v>61427</v>
      </c>
      <c r="O30" s="96" t="s">
        <v>93</v>
      </c>
      <c r="P30" s="206"/>
      <c r="Q30" s="96"/>
      <c r="R30" s="206"/>
      <c r="V30" s="324">
        <v>11531</v>
      </c>
      <c r="W30" s="324">
        <v>7875</v>
      </c>
      <c r="X30" s="324">
        <f>'PROGRAM BUDGET &amp; FISCAL REPORT'!L31</f>
        <v>42021</v>
      </c>
      <c r="Y30" s="324"/>
      <c r="AC30" s="326">
        <f t="shared" si="14"/>
        <v>61427</v>
      </c>
    </row>
    <row r="31" spans="1:29" ht="51" x14ac:dyDescent="0.2">
      <c r="A31" s="198" t="s">
        <v>94</v>
      </c>
      <c r="B31" s="199" t="s">
        <v>92</v>
      </c>
      <c r="C31" s="200" t="s">
        <v>60</v>
      </c>
      <c r="D31" s="201">
        <v>1</v>
      </c>
      <c r="E31" s="202">
        <v>1</v>
      </c>
      <c r="F31" s="203">
        <v>12</v>
      </c>
      <c r="G31" s="204">
        <f>63000</f>
        <v>63000</v>
      </c>
      <c r="H31" s="204">
        <v>41375</v>
      </c>
      <c r="I31" s="207">
        <f t="shared" si="11"/>
        <v>21625</v>
      </c>
      <c r="J31" s="115">
        <v>17467</v>
      </c>
      <c r="K31" s="115">
        <f t="shared" si="12"/>
        <v>24956</v>
      </c>
      <c r="L31" s="205">
        <f t="shared" si="9"/>
        <v>42423</v>
      </c>
      <c r="M31" s="31">
        <f t="shared" si="10"/>
        <v>1.0253293051359516</v>
      </c>
      <c r="N31" s="116">
        <f t="shared" si="13"/>
        <v>61521</v>
      </c>
      <c r="O31" s="96" t="s">
        <v>93</v>
      </c>
      <c r="P31" s="206"/>
      <c r="Q31" s="96"/>
      <c r="R31" s="206"/>
      <c r="V31" s="324">
        <v>11223</v>
      </c>
      <c r="W31" s="324">
        <v>7875</v>
      </c>
      <c r="X31" s="324">
        <f>'PROGRAM BUDGET &amp; FISCAL REPORT'!L32</f>
        <v>42423</v>
      </c>
      <c r="Y31" s="324"/>
      <c r="AC31" s="326">
        <f t="shared" si="14"/>
        <v>61521</v>
      </c>
    </row>
    <row r="32" spans="1:29" ht="51" x14ac:dyDescent="0.2">
      <c r="A32" s="198" t="s">
        <v>95</v>
      </c>
      <c r="B32" s="199" t="s">
        <v>92</v>
      </c>
      <c r="C32" s="208" t="s">
        <v>60</v>
      </c>
      <c r="D32" s="201">
        <v>1</v>
      </c>
      <c r="E32" s="209">
        <v>1</v>
      </c>
      <c r="F32" s="210">
        <v>12</v>
      </c>
      <c r="G32" s="204">
        <f>63000</f>
        <v>63000</v>
      </c>
      <c r="H32" s="204">
        <v>41375</v>
      </c>
      <c r="I32" s="207">
        <f t="shared" si="11"/>
        <v>21625</v>
      </c>
      <c r="J32" s="115">
        <f>15436</f>
        <v>15436</v>
      </c>
      <c r="K32" s="115">
        <f t="shared" si="12"/>
        <v>15976</v>
      </c>
      <c r="L32" s="205">
        <f t="shared" si="9"/>
        <v>31412</v>
      </c>
      <c r="M32" s="31">
        <f t="shared" si="10"/>
        <v>0.75920241691842905</v>
      </c>
      <c r="N32" s="116">
        <f t="shared" si="13"/>
        <v>45974</v>
      </c>
      <c r="O32" s="96" t="s">
        <v>93</v>
      </c>
      <c r="P32" s="206"/>
      <c r="Q32" s="96"/>
      <c r="R32" s="206"/>
      <c r="V32" s="324">
        <v>8917</v>
      </c>
      <c r="W32" s="324">
        <v>5645</v>
      </c>
      <c r="X32" s="324">
        <f>'PROGRAM BUDGET &amp; FISCAL REPORT'!L33</f>
        <v>31412</v>
      </c>
      <c r="Y32" s="324"/>
      <c r="AC32" s="326">
        <f t="shared" si="14"/>
        <v>45974</v>
      </c>
    </row>
    <row r="33" spans="1:29" ht="51" x14ac:dyDescent="0.2">
      <c r="A33" s="198" t="s">
        <v>96</v>
      </c>
      <c r="B33" s="199" t="s">
        <v>92</v>
      </c>
      <c r="C33" s="208" t="s">
        <v>60</v>
      </c>
      <c r="D33" s="201">
        <v>1</v>
      </c>
      <c r="E33" s="209">
        <v>1</v>
      </c>
      <c r="F33" s="210">
        <v>12</v>
      </c>
      <c r="G33" s="204">
        <f>63000</f>
        <v>63000</v>
      </c>
      <c r="H33" s="204">
        <v>41375</v>
      </c>
      <c r="I33" s="207">
        <f t="shared" si="11"/>
        <v>21625</v>
      </c>
      <c r="J33" s="115">
        <v>16312</v>
      </c>
      <c r="K33" s="115">
        <f t="shared" si="12"/>
        <v>23340</v>
      </c>
      <c r="L33" s="205">
        <f t="shared" si="9"/>
        <v>39652</v>
      </c>
      <c r="M33" s="31">
        <f t="shared" si="10"/>
        <v>0.95835649546827795</v>
      </c>
      <c r="N33" s="116">
        <f t="shared" si="13"/>
        <v>61576</v>
      </c>
      <c r="O33" s="96" t="s">
        <v>93</v>
      </c>
      <c r="P33" s="206"/>
      <c r="Q33" s="96"/>
      <c r="R33" s="206"/>
      <c r="V33" s="324">
        <v>14049</v>
      </c>
      <c r="W33" s="324">
        <v>7875</v>
      </c>
      <c r="X33" s="324">
        <f>'PROGRAM BUDGET &amp; FISCAL REPORT'!L34</f>
        <v>39652</v>
      </c>
      <c r="Y33" s="324"/>
      <c r="AC33" s="326">
        <f t="shared" si="14"/>
        <v>61576</v>
      </c>
    </row>
    <row r="34" spans="1:29" x14ac:dyDescent="0.2">
      <c r="A34" s="198" t="s">
        <v>97</v>
      </c>
      <c r="B34" s="199" t="s">
        <v>92</v>
      </c>
      <c r="C34" s="208" t="s">
        <v>60</v>
      </c>
      <c r="D34" s="201">
        <v>1</v>
      </c>
      <c r="E34" s="209">
        <v>1</v>
      </c>
      <c r="F34" s="210">
        <v>10</v>
      </c>
      <c r="G34" s="204">
        <f>63000*(10/12)</f>
        <v>52500</v>
      </c>
      <c r="H34" s="204">
        <f>63000-7875-12600-9322</f>
        <v>33203</v>
      </c>
      <c r="I34" s="207">
        <f t="shared" si="11"/>
        <v>19297</v>
      </c>
      <c r="J34" s="115">
        <f>3906+1713</f>
        <v>5619</v>
      </c>
      <c r="K34" s="115">
        <f t="shared" si="12"/>
        <v>-828</v>
      </c>
      <c r="L34" s="205">
        <f t="shared" ref="L34:L35" si="15">SUM(J34:K34)</f>
        <v>4791</v>
      </c>
      <c r="M34" s="31">
        <f t="shared" si="10"/>
        <v>0.14429419028401047</v>
      </c>
      <c r="N34" s="116">
        <f t="shared" si="13"/>
        <v>12996</v>
      </c>
      <c r="O34" s="96" t="s">
        <v>98</v>
      </c>
      <c r="P34" s="206"/>
      <c r="Q34" s="96"/>
      <c r="R34" s="206"/>
      <c r="V34" s="324">
        <f>1999+3469</f>
        <v>5468</v>
      </c>
      <c r="W34" s="324">
        <v>2737</v>
      </c>
      <c r="X34" s="324">
        <f>'PROGRAM BUDGET &amp; FISCAL REPORT'!L35</f>
        <v>4791</v>
      </c>
      <c r="Y34" s="324"/>
      <c r="AC34" s="326">
        <f t="shared" si="14"/>
        <v>12996</v>
      </c>
    </row>
    <row r="35" spans="1:29" x14ac:dyDescent="0.2">
      <c r="A35" s="198" t="s">
        <v>99</v>
      </c>
      <c r="B35" s="199" t="s">
        <v>92</v>
      </c>
      <c r="C35" s="208"/>
      <c r="D35" s="201"/>
      <c r="E35" s="209"/>
      <c r="F35" s="210"/>
      <c r="G35" s="204"/>
      <c r="H35" s="204"/>
      <c r="I35" s="207"/>
      <c r="J35" s="115"/>
      <c r="K35" s="115">
        <f t="shared" si="12"/>
        <v>9501</v>
      </c>
      <c r="L35" s="205">
        <f t="shared" si="15"/>
        <v>9501</v>
      </c>
      <c r="M35" s="31"/>
      <c r="N35" s="116">
        <f t="shared" si="13"/>
        <v>11822</v>
      </c>
      <c r="O35" s="96"/>
      <c r="P35" s="206"/>
      <c r="Q35" s="96"/>
      <c r="R35" s="206"/>
      <c r="V35" s="324"/>
      <c r="W35" s="324">
        <v>2321</v>
      </c>
      <c r="X35" s="324">
        <f>'PROGRAM BUDGET &amp; FISCAL REPORT'!L36</f>
        <v>9501</v>
      </c>
      <c r="Y35" s="324"/>
      <c r="AC35" s="326">
        <f t="shared" si="14"/>
        <v>11822</v>
      </c>
    </row>
    <row r="36" spans="1:29" ht="25.5" x14ac:dyDescent="0.2">
      <c r="A36" s="198" t="s">
        <v>100</v>
      </c>
      <c r="B36" s="199" t="s">
        <v>101</v>
      </c>
      <c r="C36" s="208" t="s">
        <v>60</v>
      </c>
      <c r="D36" s="201">
        <f>24/40</f>
        <v>0.6</v>
      </c>
      <c r="E36" s="209">
        <v>1</v>
      </c>
      <c r="F36" s="210">
        <v>2</v>
      </c>
      <c r="G36" s="204">
        <f>2237.28+2237.28+4847.44</f>
        <v>9322</v>
      </c>
      <c r="H36" s="204">
        <v>9322</v>
      </c>
      <c r="I36" s="207">
        <f t="shared" si="11"/>
        <v>0</v>
      </c>
      <c r="J36" s="115">
        <v>7532</v>
      </c>
      <c r="K36" s="115">
        <f t="shared" si="12"/>
        <v>0</v>
      </c>
      <c r="L36" s="205">
        <f t="shared" si="9"/>
        <v>7532</v>
      </c>
      <c r="M36" s="31">
        <f t="shared" si="10"/>
        <v>0.80798111993134525</v>
      </c>
      <c r="N36" s="116">
        <f t="shared" si="13"/>
        <v>7532</v>
      </c>
      <c r="O36" s="96" t="s">
        <v>102</v>
      </c>
      <c r="P36" s="206"/>
      <c r="Q36" s="96"/>
      <c r="R36" s="206"/>
      <c r="V36" s="324">
        <v>0</v>
      </c>
      <c r="W36" s="324">
        <v>0</v>
      </c>
      <c r="X36" s="324">
        <f>'PROGRAM BUDGET &amp; FISCAL REPORT'!L37</f>
        <v>7532</v>
      </c>
      <c r="Y36" s="324"/>
      <c r="AC36" s="326">
        <f t="shared" si="14"/>
        <v>7532</v>
      </c>
    </row>
    <row r="37" spans="1:29" x14ac:dyDescent="0.2">
      <c r="A37" s="198" t="s">
        <v>103</v>
      </c>
      <c r="B37" s="199"/>
      <c r="C37" s="208"/>
      <c r="D37" s="201"/>
      <c r="E37" s="209"/>
      <c r="F37" s="210"/>
      <c r="G37" s="204">
        <v>0</v>
      </c>
      <c r="H37" s="204">
        <v>0</v>
      </c>
      <c r="I37" s="207">
        <f t="shared" si="11"/>
        <v>0</v>
      </c>
      <c r="J37" s="115">
        <v>0</v>
      </c>
      <c r="K37" s="115">
        <f t="shared" si="12"/>
        <v>3379</v>
      </c>
      <c r="L37" s="205">
        <f t="shared" si="9"/>
        <v>3379</v>
      </c>
      <c r="M37" s="31" t="str">
        <f t="shared" si="10"/>
        <v>N/A</v>
      </c>
      <c r="N37" s="116">
        <f t="shared" si="13"/>
        <v>3379</v>
      </c>
      <c r="O37" s="96"/>
      <c r="P37" s="206"/>
      <c r="Q37" s="96"/>
      <c r="R37" s="206"/>
      <c r="V37" s="324"/>
      <c r="W37" s="324">
        <v>0</v>
      </c>
      <c r="X37" s="324">
        <f>'PROGRAM BUDGET &amp; FISCAL REPORT'!L38</f>
        <v>3379</v>
      </c>
      <c r="Y37" s="324"/>
      <c r="AC37" s="326">
        <f t="shared" si="14"/>
        <v>3379</v>
      </c>
    </row>
    <row r="38" spans="1:29" x14ac:dyDescent="0.2">
      <c r="A38" s="198"/>
      <c r="B38" s="199"/>
      <c r="C38" s="208"/>
      <c r="D38" s="211"/>
      <c r="E38" s="209"/>
      <c r="F38" s="210"/>
      <c r="G38" s="204">
        <v>0</v>
      </c>
      <c r="H38" s="204">
        <v>0</v>
      </c>
      <c r="I38" s="207">
        <f t="shared" si="11"/>
        <v>0</v>
      </c>
      <c r="J38" s="115">
        <v>0</v>
      </c>
      <c r="K38" s="115">
        <v>0</v>
      </c>
      <c r="L38" s="205">
        <f t="shared" si="9"/>
        <v>0</v>
      </c>
      <c r="M38" s="31" t="str">
        <f t="shared" si="10"/>
        <v>N/A</v>
      </c>
      <c r="N38" s="116">
        <v>0</v>
      </c>
      <c r="O38" s="96"/>
      <c r="P38" s="206"/>
      <c r="Q38" s="96"/>
      <c r="R38" s="206"/>
      <c r="V38" s="324"/>
      <c r="W38" s="324"/>
      <c r="X38" s="324"/>
      <c r="Y38" s="324"/>
    </row>
    <row r="39" spans="1:29" ht="13.5" thickBot="1" x14ac:dyDescent="0.25">
      <c r="A39" s="212"/>
      <c r="B39" s="213"/>
      <c r="C39" s="214" t="s">
        <v>104</v>
      </c>
      <c r="D39" s="215"/>
      <c r="E39" s="215"/>
      <c r="F39" s="216"/>
      <c r="G39" s="217">
        <f t="shared" ref="G39:L39" si="16">SUM(G27:G38)</f>
        <v>457238.66666666669</v>
      </c>
      <c r="H39" s="217">
        <f t="shared" si="16"/>
        <v>243925</v>
      </c>
      <c r="I39" s="217">
        <f t="shared" si="16"/>
        <v>213313.66666666669</v>
      </c>
      <c r="J39" s="217">
        <f t="shared" si="16"/>
        <v>115263</v>
      </c>
      <c r="K39" s="217">
        <f t="shared" si="16"/>
        <v>107548</v>
      </c>
      <c r="L39" s="217">
        <f t="shared" si="16"/>
        <v>222811</v>
      </c>
      <c r="M39" s="218">
        <f t="shared" si="10"/>
        <v>0.91344060674387617</v>
      </c>
      <c r="N39" s="219">
        <f>SUM(N27:N38)</f>
        <v>400482</v>
      </c>
      <c r="T39" s="217">
        <f t="shared" ref="T39:AA39" si="17">SUM(T27:T38)</f>
        <v>0</v>
      </c>
      <c r="U39" s="217"/>
      <c r="V39" s="217">
        <f t="shared" si="17"/>
        <v>81218</v>
      </c>
      <c r="W39" s="217">
        <f t="shared" si="17"/>
        <v>96453</v>
      </c>
      <c r="X39" s="217">
        <f t="shared" si="17"/>
        <v>222811</v>
      </c>
      <c r="Y39" s="217">
        <f t="shared" si="17"/>
        <v>0</v>
      </c>
      <c r="Z39" s="217">
        <f t="shared" si="17"/>
        <v>0</v>
      </c>
      <c r="AA39" s="217">
        <f t="shared" si="17"/>
        <v>0</v>
      </c>
      <c r="AC39" s="217">
        <f t="shared" ref="AC39" si="18">SUM(AC27:AC38)</f>
        <v>400482</v>
      </c>
    </row>
    <row r="40" spans="1:29" ht="13.5" thickBot="1" x14ac:dyDescent="0.25">
      <c r="A40" s="30"/>
      <c r="B40" s="30"/>
      <c r="C40" s="30"/>
      <c r="D40" s="30"/>
      <c r="E40" s="30"/>
      <c r="F40" s="30"/>
      <c r="O40" s="73"/>
      <c r="P40" s="73"/>
      <c r="Q40" s="73"/>
      <c r="R40" s="73"/>
    </row>
    <row r="41" spans="1:29" x14ac:dyDescent="0.2">
      <c r="A41" s="12" t="s">
        <v>105</v>
      </c>
      <c r="B41" s="11"/>
      <c r="C41" s="11"/>
      <c r="D41" s="11"/>
      <c r="E41" s="11"/>
      <c r="F41" s="10"/>
      <c r="G41" s="9"/>
      <c r="H41" s="9"/>
      <c r="I41" s="9"/>
      <c r="J41" s="9"/>
      <c r="K41" s="9"/>
      <c r="L41" s="9"/>
      <c r="M41" s="8"/>
      <c r="N41" s="7"/>
      <c r="O41" s="73"/>
      <c r="P41" s="73"/>
      <c r="Q41" s="73"/>
      <c r="R41" s="73"/>
    </row>
    <row r="42" spans="1:29" s="50" customFormat="1" ht="11.25" x14ac:dyDescent="0.2">
      <c r="A42" s="46" t="s">
        <v>106</v>
      </c>
      <c r="B42" s="55"/>
      <c r="C42" s="55"/>
      <c r="D42" s="55"/>
      <c r="E42" s="55"/>
      <c r="F42" s="48"/>
      <c r="G42" s="15"/>
      <c r="H42" s="15"/>
      <c r="I42" s="15"/>
      <c r="J42" s="15"/>
      <c r="K42" s="15"/>
      <c r="L42" s="15"/>
      <c r="M42" s="14"/>
      <c r="N42" s="13"/>
      <c r="O42" s="74"/>
      <c r="P42" s="74"/>
      <c r="Q42" s="74"/>
      <c r="R42" s="74"/>
    </row>
    <row r="43" spans="1:29" ht="33.75" x14ac:dyDescent="0.2">
      <c r="A43" s="43" t="s">
        <v>107</v>
      </c>
      <c r="B43" s="44"/>
      <c r="C43" s="45"/>
      <c r="D43" s="45"/>
      <c r="E43" s="45"/>
      <c r="F43" s="45"/>
      <c r="G43" s="32" t="s">
        <v>37</v>
      </c>
      <c r="H43" s="32" t="s">
        <v>38</v>
      </c>
      <c r="I43" s="32" t="s">
        <v>39</v>
      </c>
      <c r="J43" s="32" t="s">
        <v>40</v>
      </c>
      <c r="K43" s="32" t="s">
        <v>41</v>
      </c>
      <c r="L43" s="32" t="s">
        <v>42</v>
      </c>
      <c r="M43" s="40" t="s">
        <v>43</v>
      </c>
      <c r="N43" s="41" t="s">
        <v>44</v>
      </c>
      <c r="O43" s="72" t="s">
        <v>80</v>
      </c>
      <c r="P43" s="72" t="s">
        <v>81</v>
      </c>
      <c r="Q43" s="72" t="s">
        <v>82</v>
      </c>
      <c r="R43" s="72" t="s">
        <v>83</v>
      </c>
    </row>
    <row r="44" spans="1:29" x14ac:dyDescent="0.2">
      <c r="A44" s="220" t="s">
        <v>108</v>
      </c>
      <c r="B44" s="221"/>
      <c r="C44" s="221"/>
      <c r="D44" s="222"/>
      <c r="E44" s="223">
        <v>7.6499999999999999E-2</v>
      </c>
      <c r="F44" s="224"/>
      <c r="G44" s="318">
        <f>$G$39*E44</f>
        <v>34978.758000000002</v>
      </c>
      <c r="H44" s="318">
        <f>$H$39*E44</f>
        <v>18660.262500000001</v>
      </c>
      <c r="I44" s="117">
        <f t="shared" ref="I44:I50" si="19">G44-H44</f>
        <v>16318.495500000001</v>
      </c>
      <c r="J44" s="115">
        <v>8406</v>
      </c>
      <c r="K44" s="115">
        <f t="shared" ref="K44:K49" si="20">X44-J44</f>
        <v>8033</v>
      </c>
      <c r="L44" s="117">
        <f>SUM(J44:K44)</f>
        <v>16439</v>
      </c>
      <c r="M44" s="31">
        <f>IFERROR(L44/H44,"N/A")</f>
        <v>0.88096295537107261</v>
      </c>
      <c r="N44" s="116">
        <f t="shared" ref="N44:N49" si="21">AC44</f>
        <v>29545</v>
      </c>
      <c r="O44" s="73"/>
      <c r="P44" s="73"/>
      <c r="Q44" s="73"/>
      <c r="R44" s="73"/>
      <c r="T44" s="324"/>
      <c r="U44" s="324"/>
      <c r="V44" s="324">
        <f>6001</f>
        <v>6001</v>
      </c>
      <c r="W44" s="324">
        <v>7105</v>
      </c>
      <c r="X44" s="324">
        <f>'PROGRAM BUDGET &amp; FISCAL REPORT'!L46</f>
        <v>16439</v>
      </c>
      <c r="Y44" s="324"/>
      <c r="Z44" s="324"/>
      <c r="AA44" s="324"/>
      <c r="AC44" s="326">
        <f t="shared" ref="AC44:AC48" si="22">AA44+Z44+Y44+X44+W44+V44+U44+T44</f>
        <v>29545</v>
      </c>
    </row>
    <row r="45" spans="1:29" x14ac:dyDescent="0.2">
      <c r="A45" s="225" t="s">
        <v>109</v>
      </c>
      <c r="B45" s="221"/>
      <c r="C45" s="226"/>
      <c r="D45" s="222"/>
      <c r="E45" s="223">
        <v>0.01</v>
      </c>
      <c r="F45" s="224"/>
      <c r="G45" s="318">
        <f t="shared" ref="G45:G48" si="23">$G$39*E45</f>
        <v>4572.3866666666672</v>
      </c>
      <c r="H45" s="318">
        <f t="shared" ref="H45:H48" si="24">$H$39*E45</f>
        <v>2439.25</v>
      </c>
      <c r="I45" s="207">
        <f t="shared" si="19"/>
        <v>2133.1366666666672</v>
      </c>
      <c r="J45" s="115">
        <v>317</v>
      </c>
      <c r="K45" s="115">
        <f t="shared" si="20"/>
        <v>661</v>
      </c>
      <c r="L45" s="207">
        <f t="shared" ref="L45:L50" si="25">SUM(J45:K45)</f>
        <v>978</v>
      </c>
      <c r="M45" s="227">
        <f t="shared" ref="M45:M50" si="26">IFERROR(L45/H45,"N/A")</f>
        <v>0.40094291278056782</v>
      </c>
      <c r="N45" s="116">
        <f t="shared" si="21"/>
        <v>1704</v>
      </c>
      <c r="O45" s="73"/>
      <c r="P45" s="73"/>
      <c r="Q45" s="73"/>
      <c r="R45" s="73"/>
      <c r="T45" s="324"/>
      <c r="U45" s="324"/>
      <c r="V45" s="324">
        <v>312</v>
      </c>
      <c r="W45" s="324">
        <v>414</v>
      </c>
      <c r="X45" s="324">
        <f>'PROGRAM BUDGET &amp; FISCAL REPORT'!L47</f>
        <v>978</v>
      </c>
      <c r="Y45" s="324"/>
      <c r="Z45" s="324"/>
      <c r="AA45" s="324"/>
      <c r="AC45" s="326">
        <f t="shared" si="22"/>
        <v>1704</v>
      </c>
    </row>
    <row r="46" spans="1:29" x14ac:dyDescent="0.2">
      <c r="A46" s="225" t="s">
        <v>110</v>
      </c>
      <c r="B46" s="221"/>
      <c r="C46" s="226"/>
      <c r="D46" s="222"/>
      <c r="E46" s="223">
        <v>8.5000000000000006E-3</v>
      </c>
      <c r="F46" s="224"/>
      <c r="G46" s="318">
        <f t="shared" si="23"/>
        <v>3886.528666666667</v>
      </c>
      <c r="H46" s="318">
        <f t="shared" si="24"/>
        <v>2073.3625000000002</v>
      </c>
      <c r="I46" s="207">
        <f t="shared" si="19"/>
        <v>1813.1661666666669</v>
      </c>
      <c r="J46" s="115">
        <v>199</v>
      </c>
      <c r="K46" s="115">
        <f t="shared" si="20"/>
        <v>611</v>
      </c>
      <c r="L46" s="207">
        <f t="shared" si="25"/>
        <v>810</v>
      </c>
      <c r="M46" s="227">
        <f t="shared" si="26"/>
        <v>0.39066974540149152</v>
      </c>
      <c r="N46" s="116">
        <f t="shared" si="21"/>
        <v>2408</v>
      </c>
      <c r="O46" s="73"/>
      <c r="P46" s="73"/>
      <c r="Q46" s="73"/>
      <c r="R46" s="73"/>
      <c r="T46" s="324"/>
      <c r="U46" s="324"/>
      <c r="V46" s="324">
        <v>612</v>
      </c>
      <c r="W46" s="324">
        <v>986</v>
      </c>
      <c r="X46" s="324">
        <f>'PROGRAM BUDGET &amp; FISCAL REPORT'!L48</f>
        <v>810</v>
      </c>
      <c r="Y46" s="324"/>
      <c r="Z46" s="324"/>
      <c r="AA46" s="324"/>
      <c r="AC46" s="326">
        <f t="shared" si="22"/>
        <v>2408</v>
      </c>
    </row>
    <row r="47" spans="1:29" x14ac:dyDescent="0.2">
      <c r="A47" s="225" t="s">
        <v>111</v>
      </c>
      <c r="B47" s="221"/>
      <c r="C47" s="226"/>
      <c r="D47" s="222"/>
      <c r="E47" s="223">
        <v>3.7499999999999999E-2</v>
      </c>
      <c r="F47" s="224"/>
      <c r="G47" s="318">
        <f t="shared" si="23"/>
        <v>17146.45</v>
      </c>
      <c r="H47" s="318">
        <f t="shared" si="24"/>
        <v>9147.1875</v>
      </c>
      <c r="I47" s="207">
        <f t="shared" si="19"/>
        <v>7999.2625000000007</v>
      </c>
      <c r="J47" s="115">
        <v>5916</v>
      </c>
      <c r="K47" s="115">
        <f t="shared" si="20"/>
        <v>4759</v>
      </c>
      <c r="L47" s="207">
        <f t="shared" si="25"/>
        <v>10675</v>
      </c>
      <c r="M47" s="227">
        <f t="shared" si="26"/>
        <v>1.167025383485361</v>
      </c>
      <c r="N47" s="116">
        <f t="shared" si="21"/>
        <v>19912</v>
      </c>
      <c r="O47" s="73"/>
      <c r="P47" s="73"/>
      <c r="Q47" s="73"/>
      <c r="R47" s="73"/>
      <c r="T47" s="324"/>
      <c r="U47" s="324"/>
      <c r="V47" s="324">
        <v>4237</v>
      </c>
      <c r="W47" s="324">
        <v>5000</v>
      </c>
      <c r="X47" s="324">
        <f>'PROGRAM BUDGET &amp; FISCAL REPORT'!L49</f>
        <v>10675</v>
      </c>
      <c r="Y47" s="324"/>
      <c r="Z47" s="324"/>
      <c r="AA47" s="324"/>
      <c r="AC47" s="326">
        <f t="shared" si="22"/>
        <v>19912</v>
      </c>
    </row>
    <row r="48" spans="1:29" x14ac:dyDescent="0.2">
      <c r="A48" s="225" t="s">
        <v>112</v>
      </c>
      <c r="B48" s="221"/>
      <c r="C48" s="226"/>
      <c r="D48" s="222"/>
      <c r="E48" s="223">
        <v>5.0000000000000001E-3</v>
      </c>
      <c r="F48" s="224"/>
      <c r="G48" s="318">
        <f t="shared" si="23"/>
        <v>2286.1933333333336</v>
      </c>
      <c r="H48" s="318">
        <f t="shared" si="24"/>
        <v>1219.625</v>
      </c>
      <c r="I48" s="207">
        <f t="shared" si="19"/>
        <v>1066.5683333333336</v>
      </c>
      <c r="J48" s="115">
        <v>903</v>
      </c>
      <c r="K48" s="115">
        <f t="shared" si="20"/>
        <v>984</v>
      </c>
      <c r="L48" s="207">
        <f t="shared" si="25"/>
        <v>1887</v>
      </c>
      <c r="M48" s="227">
        <f t="shared" si="26"/>
        <v>1.5471968842882033</v>
      </c>
      <c r="N48" s="116">
        <f t="shared" si="21"/>
        <v>3625</v>
      </c>
      <c r="O48" s="73"/>
      <c r="P48" s="73"/>
      <c r="Q48" s="73"/>
      <c r="R48" s="73"/>
      <c r="T48" s="324"/>
      <c r="U48" s="324"/>
      <c r="V48" s="324">
        <v>751</v>
      </c>
      <c r="W48" s="324">
        <v>987</v>
      </c>
      <c r="X48" s="324">
        <f>'PROGRAM BUDGET &amp; FISCAL REPORT'!L50</f>
        <v>1887</v>
      </c>
      <c r="Y48" s="324"/>
      <c r="Z48" s="324"/>
      <c r="AA48" s="324"/>
      <c r="AC48" s="326">
        <f t="shared" si="22"/>
        <v>3625</v>
      </c>
    </row>
    <row r="49" spans="1:29" x14ac:dyDescent="0.2">
      <c r="A49" s="225"/>
      <c r="B49" s="221"/>
      <c r="C49" s="226"/>
      <c r="D49" s="222"/>
      <c r="E49" s="228"/>
      <c r="F49" s="224"/>
      <c r="G49" s="318">
        <v>0</v>
      </c>
      <c r="H49" s="318">
        <v>0</v>
      </c>
      <c r="I49" s="207">
        <f t="shared" si="19"/>
        <v>0</v>
      </c>
      <c r="J49" s="115">
        <v>0</v>
      </c>
      <c r="K49" s="115">
        <f t="shared" si="20"/>
        <v>0</v>
      </c>
      <c r="L49" s="207">
        <f t="shared" si="25"/>
        <v>0</v>
      </c>
      <c r="M49" s="227" t="str">
        <f t="shared" si="26"/>
        <v>N/A</v>
      </c>
      <c r="N49" s="116">
        <f t="shared" si="21"/>
        <v>0</v>
      </c>
      <c r="O49" s="73"/>
      <c r="P49" s="73"/>
      <c r="Q49" s="73"/>
      <c r="R49" s="73"/>
      <c r="T49" s="324"/>
      <c r="U49" s="324"/>
      <c r="V49" s="324"/>
      <c r="W49" s="324"/>
      <c r="X49" s="324"/>
      <c r="Y49" s="324"/>
      <c r="Z49" s="324"/>
      <c r="AA49" s="324"/>
      <c r="AC49" s="324"/>
    </row>
    <row r="50" spans="1:29" x14ac:dyDescent="0.2">
      <c r="A50" s="225"/>
      <c r="B50" s="221"/>
      <c r="C50" s="226"/>
      <c r="D50" s="222"/>
      <c r="E50" s="228"/>
      <c r="F50" s="224"/>
      <c r="G50" s="318">
        <v>0</v>
      </c>
      <c r="H50" s="318">
        <v>0</v>
      </c>
      <c r="I50" s="207">
        <f t="shared" si="19"/>
        <v>0</v>
      </c>
      <c r="J50" s="115">
        <v>0</v>
      </c>
      <c r="K50" s="121">
        <v>0</v>
      </c>
      <c r="L50" s="207">
        <f t="shared" si="25"/>
        <v>0</v>
      </c>
      <c r="M50" s="227" t="str">
        <f t="shared" si="26"/>
        <v>N/A</v>
      </c>
      <c r="N50" s="122">
        <v>0</v>
      </c>
      <c r="O50" s="73"/>
      <c r="P50" s="73"/>
      <c r="Q50" s="73"/>
      <c r="R50" s="73"/>
      <c r="T50" s="324"/>
      <c r="U50" s="324"/>
      <c r="V50" s="324"/>
      <c r="W50" s="324"/>
      <c r="X50" s="324"/>
      <c r="Y50" s="324"/>
      <c r="Z50" s="324"/>
      <c r="AA50" s="324"/>
      <c r="AC50" s="324"/>
    </row>
    <row r="51" spans="1:29" ht="13.5" thickBot="1" x14ac:dyDescent="0.25">
      <c r="A51" s="229"/>
      <c r="B51" s="42"/>
      <c r="C51" s="230" t="s">
        <v>113</v>
      </c>
      <c r="D51" s="231"/>
      <c r="E51" s="231"/>
      <c r="F51" s="232"/>
      <c r="G51" s="233">
        <f t="shared" ref="G51:L51" si="27">SUM(G44:G50)</f>
        <v>62870.316666666673</v>
      </c>
      <c r="H51" s="233">
        <f t="shared" si="27"/>
        <v>33539.6875</v>
      </c>
      <c r="I51" s="233">
        <f t="shared" si="27"/>
        <v>29330.629166666669</v>
      </c>
      <c r="J51" s="233">
        <f t="shared" si="27"/>
        <v>15741</v>
      </c>
      <c r="K51" s="233">
        <f t="shared" si="27"/>
        <v>15048</v>
      </c>
      <c r="L51" s="233">
        <f t="shared" si="27"/>
        <v>30789</v>
      </c>
      <c r="M51" s="234">
        <f>IFERROR(L51/H51,"N/A")</f>
        <v>0.91798708619452696</v>
      </c>
      <c r="N51" s="235">
        <f>SUM(N44:N50)</f>
        <v>57194</v>
      </c>
      <c r="O51" s="96"/>
      <c r="P51" s="206"/>
      <c r="Q51" s="96"/>
      <c r="R51" s="206"/>
      <c r="T51" s="233">
        <f t="shared" ref="T51:AA51" si="28">SUM(T44:T50)</f>
        <v>0</v>
      </c>
      <c r="U51" s="233">
        <f t="shared" si="28"/>
        <v>0</v>
      </c>
      <c r="V51" s="233">
        <f t="shared" si="28"/>
        <v>11913</v>
      </c>
      <c r="W51" s="233">
        <f t="shared" si="28"/>
        <v>14492</v>
      </c>
      <c r="X51" s="233">
        <f t="shared" si="28"/>
        <v>30789</v>
      </c>
      <c r="Y51" s="233">
        <f t="shared" si="28"/>
        <v>0</v>
      </c>
      <c r="Z51" s="233">
        <f t="shared" si="28"/>
        <v>0</v>
      </c>
      <c r="AA51" s="233">
        <f t="shared" si="28"/>
        <v>0</v>
      </c>
      <c r="AC51" s="233">
        <f t="shared" ref="AC51" si="29">SUM(AC44:AC50)</f>
        <v>57194</v>
      </c>
    </row>
    <row r="52" spans="1:29" ht="13.5" thickBot="1" x14ac:dyDescent="0.25">
      <c r="A52" s="30"/>
      <c r="B52" s="30"/>
      <c r="C52" s="30"/>
      <c r="D52" s="30"/>
      <c r="E52" s="30"/>
      <c r="F52" s="30"/>
      <c r="O52" s="73"/>
      <c r="P52" s="73"/>
      <c r="Q52" s="73"/>
      <c r="R52" s="73"/>
    </row>
    <row r="53" spans="1:29" s="50" customFormat="1" x14ac:dyDescent="0.2">
      <c r="A53" s="12" t="s">
        <v>114</v>
      </c>
      <c r="B53" s="11"/>
      <c r="C53" s="11"/>
      <c r="D53" s="11"/>
      <c r="E53" s="11"/>
      <c r="F53" s="10"/>
      <c r="G53" s="9"/>
      <c r="H53" s="9"/>
      <c r="I53" s="9"/>
      <c r="J53" s="9"/>
      <c r="K53" s="9"/>
      <c r="L53" s="9"/>
      <c r="M53" s="8"/>
      <c r="N53" s="7"/>
      <c r="O53" s="73"/>
      <c r="P53" s="73"/>
      <c r="Q53" s="73"/>
      <c r="R53" s="73"/>
    </row>
    <row r="54" spans="1:29" s="50" customFormat="1" ht="11.25" x14ac:dyDescent="0.2">
      <c r="A54" s="54" t="s">
        <v>115</v>
      </c>
      <c r="B54" s="55"/>
      <c r="C54" s="55"/>
      <c r="D54" s="55"/>
      <c r="E54" s="55"/>
      <c r="F54" s="48"/>
      <c r="G54" s="15"/>
      <c r="H54" s="15"/>
      <c r="I54" s="15"/>
      <c r="J54" s="15"/>
      <c r="K54" s="15"/>
      <c r="L54" s="15"/>
      <c r="M54" s="14"/>
      <c r="N54" s="13"/>
      <c r="O54" s="74"/>
      <c r="P54" s="74"/>
      <c r="Q54" s="74"/>
      <c r="R54" s="74"/>
    </row>
    <row r="55" spans="1:29" ht="33.75" x14ac:dyDescent="0.2">
      <c r="A55" s="43" t="s">
        <v>107</v>
      </c>
      <c r="B55" s="44"/>
      <c r="C55" s="45"/>
      <c r="D55" s="45"/>
      <c r="E55" s="45"/>
      <c r="F55" s="45"/>
      <c r="G55" s="32" t="s">
        <v>37</v>
      </c>
      <c r="H55" s="32" t="s">
        <v>38</v>
      </c>
      <c r="I55" s="32" t="s">
        <v>39</v>
      </c>
      <c r="J55" s="32" t="s">
        <v>40</v>
      </c>
      <c r="K55" s="32" t="s">
        <v>41</v>
      </c>
      <c r="L55" s="32" t="s">
        <v>42</v>
      </c>
      <c r="M55" s="40" t="s">
        <v>43</v>
      </c>
      <c r="N55" s="41" t="s">
        <v>44</v>
      </c>
      <c r="O55" s="72" t="s">
        <v>80</v>
      </c>
      <c r="P55" s="72" t="s">
        <v>81</v>
      </c>
      <c r="Q55" s="72" t="s">
        <v>82</v>
      </c>
      <c r="R55" s="72" t="s">
        <v>83</v>
      </c>
    </row>
    <row r="56" spans="1:29" x14ac:dyDescent="0.2">
      <c r="A56" s="236" t="s">
        <v>116</v>
      </c>
      <c r="B56" s="237"/>
      <c r="C56" s="238"/>
      <c r="D56" s="239"/>
      <c r="E56" s="240"/>
      <c r="F56" s="224"/>
      <c r="G56" s="204">
        <f>(69.91*6.35)*12</f>
        <v>5327.1419999999989</v>
      </c>
      <c r="H56" s="204">
        <v>3000</v>
      </c>
      <c r="I56" s="241">
        <f t="shared" ref="I56:I60" si="30">G56-H56</f>
        <v>2327.1419999999989</v>
      </c>
      <c r="J56" s="115">
        <v>1921</v>
      </c>
      <c r="K56" s="115">
        <f t="shared" ref="K56:K58" si="31">X56-J56</f>
        <v>952</v>
      </c>
      <c r="L56" s="117">
        <f>SUM(J56:K56)</f>
        <v>2873</v>
      </c>
      <c r="M56" s="31">
        <f>IFERROR(L56/H56,"N/A")</f>
        <v>0.95766666666666667</v>
      </c>
      <c r="N56" s="116">
        <f t="shared" ref="N56:N59" si="32">AC56</f>
        <v>5223</v>
      </c>
      <c r="O56" s="73"/>
      <c r="P56" s="73"/>
      <c r="Q56" s="73"/>
      <c r="R56" s="73"/>
      <c r="T56" s="324"/>
      <c r="U56" s="324"/>
      <c r="V56" s="324">
        <v>1850</v>
      </c>
      <c r="W56" s="324">
        <v>500</v>
      </c>
      <c r="X56" s="324">
        <f>'PROGRAM BUDGET &amp; FISCAL REPORT'!L58</f>
        <v>2873</v>
      </c>
      <c r="Y56" s="324"/>
      <c r="Z56" s="324"/>
      <c r="AA56" s="324"/>
      <c r="AC56" s="326">
        <f t="shared" ref="AC56:AC59" si="33">AA56+Z56+Y56+X56+W56+V56+U56+T56</f>
        <v>5223</v>
      </c>
    </row>
    <row r="57" spans="1:29" x14ac:dyDescent="0.2">
      <c r="A57" s="242" t="s">
        <v>117</v>
      </c>
      <c r="B57" s="237"/>
      <c r="C57" s="238"/>
      <c r="D57" s="239"/>
      <c r="E57" s="240"/>
      <c r="F57" s="224"/>
      <c r="G57" s="204">
        <f>(22.25*6.35)*12</f>
        <v>1695.4499999999998</v>
      </c>
      <c r="H57" s="204">
        <v>853</v>
      </c>
      <c r="I57" s="241">
        <f t="shared" si="30"/>
        <v>842.44999999999982</v>
      </c>
      <c r="J57" s="115">
        <v>608</v>
      </c>
      <c r="K57" s="115">
        <f t="shared" si="31"/>
        <v>-37</v>
      </c>
      <c r="L57" s="207">
        <f t="shared" ref="L57:L60" si="34">SUM(J57:K57)</f>
        <v>571</v>
      </c>
      <c r="M57" s="227">
        <f t="shared" ref="M57:M60" si="35">IFERROR(L57/H57,"N/A")</f>
        <v>0.66940211019929663</v>
      </c>
      <c r="N57" s="116">
        <f t="shared" si="32"/>
        <v>2121</v>
      </c>
      <c r="O57" s="73"/>
      <c r="P57" s="73"/>
      <c r="Q57" s="73"/>
      <c r="R57" s="73"/>
      <c r="T57" s="324"/>
      <c r="U57" s="324"/>
      <c r="V57" s="324">
        <v>497</v>
      </c>
      <c r="W57" s="324">
        <v>1053</v>
      </c>
      <c r="X57" s="324">
        <f>'PROGRAM BUDGET &amp; FISCAL REPORT'!L59</f>
        <v>571</v>
      </c>
      <c r="Y57" s="324"/>
      <c r="Z57" s="324"/>
      <c r="AA57" s="324"/>
      <c r="AC57" s="326">
        <f t="shared" si="33"/>
        <v>2121</v>
      </c>
    </row>
    <row r="58" spans="1:29" x14ac:dyDescent="0.2">
      <c r="A58" s="242" t="s">
        <v>118</v>
      </c>
      <c r="B58" s="237"/>
      <c r="C58" s="238"/>
      <c r="D58" s="239"/>
      <c r="E58" s="240"/>
      <c r="F58" s="224"/>
      <c r="G58" s="318">
        <v>2317</v>
      </c>
      <c r="H58" s="318">
        <v>1750</v>
      </c>
      <c r="I58" s="241">
        <f t="shared" si="30"/>
        <v>567</v>
      </c>
      <c r="J58" s="123">
        <v>513</v>
      </c>
      <c r="K58" s="115">
        <f t="shared" si="31"/>
        <v>3389</v>
      </c>
      <c r="L58" s="207">
        <f t="shared" si="34"/>
        <v>3902</v>
      </c>
      <c r="M58" s="227">
        <f t="shared" si="35"/>
        <v>2.2297142857142855</v>
      </c>
      <c r="N58" s="116">
        <f t="shared" si="32"/>
        <v>100081</v>
      </c>
      <c r="O58" s="73"/>
      <c r="P58" s="73"/>
      <c r="Q58" s="73"/>
      <c r="R58" s="73"/>
      <c r="T58" s="324">
        <v>932</v>
      </c>
      <c r="U58" s="324">
        <v>90894</v>
      </c>
      <c r="V58" s="324">
        <v>886</v>
      </c>
      <c r="W58" s="324">
        <v>3467</v>
      </c>
      <c r="X58" s="324">
        <f>'PROGRAM BUDGET &amp; FISCAL REPORT'!L60</f>
        <v>3902</v>
      </c>
      <c r="Y58" s="324">
        <v>0</v>
      </c>
      <c r="Z58" s="324"/>
      <c r="AA58" s="324"/>
      <c r="AC58" s="326">
        <f t="shared" si="33"/>
        <v>100081</v>
      </c>
    </row>
    <row r="59" spans="1:29" x14ac:dyDescent="0.2">
      <c r="A59" s="242"/>
      <c r="B59" s="237"/>
      <c r="C59" s="238"/>
      <c r="D59" s="239"/>
      <c r="E59" s="240"/>
      <c r="F59" s="224"/>
      <c r="G59" s="318">
        <v>0</v>
      </c>
      <c r="H59" s="318">
        <v>0</v>
      </c>
      <c r="I59" s="241">
        <f t="shared" si="30"/>
        <v>0</v>
      </c>
      <c r="J59" s="123">
        <v>0</v>
      </c>
      <c r="K59" s="123">
        <v>0</v>
      </c>
      <c r="L59" s="207">
        <f t="shared" si="34"/>
        <v>0</v>
      </c>
      <c r="M59" s="227" t="str">
        <f t="shared" si="35"/>
        <v>N/A</v>
      </c>
      <c r="N59" s="116">
        <f t="shared" si="32"/>
        <v>0</v>
      </c>
      <c r="O59" s="73"/>
      <c r="P59" s="73"/>
      <c r="Q59" s="73"/>
      <c r="R59" s="73"/>
      <c r="T59" s="324"/>
      <c r="U59" s="324"/>
      <c r="V59" s="324"/>
      <c r="W59" s="324"/>
      <c r="X59" s="324"/>
      <c r="Y59" s="324"/>
      <c r="Z59" s="324"/>
      <c r="AA59" s="324"/>
      <c r="AC59" s="326">
        <f t="shared" si="33"/>
        <v>0</v>
      </c>
    </row>
    <row r="60" spans="1:29" x14ac:dyDescent="0.2">
      <c r="A60" s="242"/>
      <c r="B60" s="237"/>
      <c r="C60" s="238"/>
      <c r="D60" s="239"/>
      <c r="E60" s="240"/>
      <c r="F60" s="224"/>
      <c r="G60" s="319">
        <v>0</v>
      </c>
      <c r="H60" s="318">
        <v>0</v>
      </c>
      <c r="I60" s="241">
        <f t="shared" si="30"/>
        <v>0</v>
      </c>
      <c r="J60" s="123">
        <v>0</v>
      </c>
      <c r="K60" s="123">
        <v>0</v>
      </c>
      <c r="L60" s="207">
        <f t="shared" si="34"/>
        <v>0</v>
      </c>
      <c r="M60" s="227" t="str">
        <f t="shared" si="35"/>
        <v>N/A</v>
      </c>
      <c r="N60" s="122">
        <v>0</v>
      </c>
      <c r="O60" s="73"/>
      <c r="P60" s="73"/>
      <c r="Q60" s="73"/>
      <c r="R60" s="73"/>
      <c r="T60" s="324"/>
      <c r="U60" s="324"/>
      <c r="V60" s="324"/>
      <c r="W60" s="324"/>
      <c r="X60" s="324"/>
      <c r="Y60" s="324"/>
      <c r="Z60" s="324"/>
      <c r="AA60" s="324"/>
      <c r="AC60" s="324"/>
    </row>
    <row r="61" spans="1:29" ht="13.5" thickBot="1" x14ac:dyDescent="0.25">
      <c r="A61" s="229"/>
      <c r="B61" s="42"/>
      <c r="C61" s="230" t="s">
        <v>119</v>
      </c>
      <c r="D61" s="231"/>
      <c r="E61" s="231"/>
      <c r="F61" s="232"/>
      <c r="G61" s="233">
        <f t="shared" ref="G61:L61" si="36">SUM(G56:G60)</f>
        <v>9339.5919999999987</v>
      </c>
      <c r="H61" s="233">
        <f t="shared" si="36"/>
        <v>5603</v>
      </c>
      <c r="I61" s="233">
        <f t="shared" si="36"/>
        <v>3736.5919999999987</v>
      </c>
      <c r="J61" s="233">
        <f t="shared" si="36"/>
        <v>3042</v>
      </c>
      <c r="K61" s="233">
        <f t="shared" si="36"/>
        <v>4304</v>
      </c>
      <c r="L61" s="233">
        <f t="shared" si="36"/>
        <v>7346</v>
      </c>
      <c r="M61" s="234">
        <f>IFERROR(L61/H61,"N/A")</f>
        <v>1.311083348206318</v>
      </c>
      <c r="N61" s="235">
        <f>SUM(N56:N60)</f>
        <v>107425</v>
      </c>
      <c r="O61" s="96"/>
      <c r="P61" s="243"/>
      <c r="Q61" s="96"/>
      <c r="R61" s="243"/>
      <c r="T61" s="233">
        <f t="shared" ref="T61:AA61" si="37">SUM(T56:T60)</f>
        <v>932</v>
      </c>
      <c r="U61" s="233">
        <f t="shared" si="37"/>
        <v>90894</v>
      </c>
      <c r="V61" s="233">
        <f t="shared" si="37"/>
        <v>3233</v>
      </c>
      <c r="W61" s="233">
        <f>SUM(W56:W60)</f>
        <v>5020</v>
      </c>
      <c r="X61" s="233">
        <f>SUM(X56:X60)</f>
        <v>7346</v>
      </c>
      <c r="Y61" s="233">
        <f>SUM(Y56:Y60)</f>
        <v>0</v>
      </c>
      <c r="Z61" s="233">
        <f t="shared" si="37"/>
        <v>0</v>
      </c>
      <c r="AA61" s="233">
        <f t="shared" si="37"/>
        <v>0</v>
      </c>
      <c r="AC61" s="233">
        <f t="shared" ref="AC61" si="38">SUM(AC56:AC60)</f>
        <v>107425</v>
      </c>
    </row>
    <row r="62" spans="1:29" ht="13.5" thickBot="1" x14ac:dyDescent="0.25">
      <c r="A62" s="30"/>
      <c r="B62" s="30"/>
      <c r="C62" s="30"/>
      <c r="D62" s="30"/>
      <c r="E62" s="30"/>
      <c r="F62" s="30"/>
      <c r="O62" s="73"/>
      <c r="P62" s="73"/>
      <c r="Q62" s="73"/>
      <c r="R62" s="73"/>
    </row>
    <row r="63" spans="1:29" s="50" customFormat="1" x14ac:dyDescent="0.2">
      <c r="A63" s="16" t="s">
        <v>120</v>
      </c>
      <c r="B63" s="11"/>
      <c r="C63" s="11"/>
      <c r="D63" s="11"/>
      <c r="E63" s="11"/>
      <c r="F63" s="10"/>
      <c r="G63" s="9"/>
      <c r="H63" s="9"/>
      <c r="I63" s="9"/>
      <c r="J63" s="9"/>
      <c r="K63" s="9"/>
      <c r="L63" s="9"/>
      <c r="M63" s="8"/>
      <c r="N63" s="7"/>
      <c r="O63" s="73"/>
      <c r="P63" s="73"/>
      <c r="Q63" s="73"/>
      <c r="R63" s="73"/>
    </row>
    <row r="64" spans="1:29" x14ac:dyDescent="0.2">
      <c r="A64" s="54" t="s">
        <v>121</v>
      </c>
      <c r="B64" s="55"/>
      <c r="C64" s="55"/>
      <c r="D64" s="55"/>
      <c r="E64" s="55"/>
      <c r="F64" s="48"/>
      <c r="G64" s="15"/>
      <c r="H64" s="15"/>
      <c r="I64" s="15"/>
      <c r="J64" s="15"/>
      <c r="K64" s="15"/>
      <c r="L64" s="15"/>
      <c r="M64" s="14"/>
      <c r="N64" s="13"/>
      <c r="O64" s="74"/>
      <c r="P64" s="74"/>
      <c r="Q64" s="74"/>
      <c r="R64" s="74"/>
    </row>
    <row r="65" spans="1:29" ht="33.75" x14ac:dyDescent="0.2">
      <c r="A65" s="43" t="s">
        <v>107</v>
      </c>
      <c r="B65" s="44"/>
      <c r="C65" s="45"/>
      <c r="D65" s="45"/>
      <c r="E65" s="45"/>
      <c r="F65" s="45"/>
      <c r="G65" s="32" t="s">
        <v>37</v>
      </c>
      <c r="H65" s="32" t="s">
        <v>38</v>
      </c>
      <c r="I65" s="32" t="s">
        <v>39</v>
      </c>
      <c r="J65" s="32" t="s">
        <v>40</v>
      </c>
      <c r="K65" s="32" t="s">
        <v>41</v>
      </c>
      <c r="L65" s="32" t="s">
        <v>42</v>
      </c>
      <c r="M65" s="40" t="s">
        <v>43</v>
      </c>
      <c r="N65" s="41" t="s">
        <v>44</v>
      </c>
      <c r="O65" s="72" t="s">
        <v>80</v>
      </c>
      <c r="P65" s="72" t="s">
        <v>81</v>
      </c>
      <c r="Q65" s="72" t="s">
        <v>82</v>
      </c>
      <c r="R65" s="72" t="s">
        <v>83</v>
      </c>
    </row>
    <row r="66" spans="1:29" x14ac:dyDescent="0.2">
      <c r="A66" s="236" t="s">
        <v>122</v>
      </c>
      <c r="B66" s="237"/>
      <c r="C66" s="238"/>
      <c r="D66" s="239"/>
      <c r="E66" s="240"/>
      <c r="F66" s="224"/>
      <c r="G66" s="318">
        <f>(10174*0.0963)*12</f>
        <v>11757.0744</v>
      </c>
      <c r="H66" s="204">
        <v>7877</v>
      </c>
      <c r="I66" s="117">
        <f t="shared" ref="I66:I83" si="39">G66-H66</f>
        <v>3880.0743999999995</v>
      </c>
      <c r="J66" s="115">
        <v>5003</v>
      </c>
      <c r="K66" s="115">
        <f t="shared" ref="K66:K81" si="40">X66-J66</f>
        <v>12715</v>
      </c>
      <c r="L66" s="117">
        <f>SUM(J66:K66)</f>
        <v>17718</v>
      </c>
      <c r="M66" s="31">
        <f>IFERROR(L66/H66,"N/A")</f>
        <v>2.2493335026025139</v>
      </c>
      <c r="N66" s="116">
        <f t="shared" ref="N66:N83" si="41">AC66</f>
        <v>23514</v>
      </c>
      <c r="O66" s="73"/>
      <c r="P66" s="73"/>
      <c r="Q66" s="73"/>
      <c r="R66" s="73"/>
      <c r="T66" s="324">
        <v>746</v>
      </c>
      <c r="U66" s="324"/>
      <c r="V66" s="324">
        <v>5050</v>
      </c>
      <c r="W66" s="324">
        <v>0</v>
      </c>
      <c r="X66" s="324">
        <f>'PROGRAM BUDGET &amp; FISCAL REPORT'!L68</f>
        <v>17718</v>
      </c>
      <c r="Y66" s="324"/>
      <c r="Z66" s="324"/>
      <c r="AA66" s="324"/>
      <c r="AC66" s="326">
        <f t="shared" ref="AC66:AC83" si="42">AA66+Z66+Y66+X66+W66+V66+U66+T66</f>
        <v>23514</v>
      </c>
    </row>
    <row r="67" spans="1:29" x14ac:dyDescent="0.2">
      <c r="A67" s="242" t="s">
        <v>123</v>
      </c>
      <c r="B67" s="237"/>
      <c r="C67" s="238"/>
      <c r="D67" s="239"/>
      <c r="E67" s="240"/>
      <c r="F67" s="224"/>
      <c r="G67" s="318">
        <f>(1078.25*0.0963)*12</f>
        <v>1246.0257000000001</v>
      </c>
      <c r="H67" s="204">
        <v>835</v>
      </c>
      <c r="I67" s="207">
        <f t="shared" si="39"/>
        <v>411.02570000000014</v>
      </c>
      <c r="J67" s="115">
        <v>170</v>
      </c>
      <c r="K67" s="115">
        <f t="shared" si="40"/>
        <v>1215</v>
      </c>
      <c r="L67" s="207">
        <f>SUM(J67:K67)</f>
        <v>1385</v>
      </c>
      <c r="M67" s="227">
        <f>IFERROR(L67/H67,"N/A")</f>
        <v>1.658682634730539</v>
      </c>
      <c r="N67" s="116">
        <f t="shared" si="41"/>
        <v>2492</v>
      </c>
      <c r="O67" s="73"/>
      <c r="P67" s="73"/>
      <c r="Q67" s="73"/>
      <c r="R67" s="73"/>
      <c r="T67" s="324">
        <v>72</v>
      </c>
      <c r="U67" s="324"/>
      <c r="V67" s="324">
        <v>550</v>
      </c>
      <c r="W67" s="324">
        <v>485</v>
      </c>
      <c r="X67" s="324">
        <f>'PROGRAM BUDGET &amp; FISCAL REPORT'!L69</f>
        <v>1385</v>
      </c>
      <c r="Y67" s="324"/>
      <c r="Z67" s="324"/>
      <c r="AA67" s="324"/>
      <c r="AC67" s="326">
        <f t="shared" si="42"/>
        <v>2492</v>
      </c>
    </row>
    <row r="68" spans="1:29" x14ac:dyDescent="0.2">
      <c r="A68" s="242" t="s">
        <v>124</v>
      </c>
      <c r="B68" s="237"/>
      <c r="C68" s="238"/>
      <c r="D68" s="239"/>
      <c r="E68" s="240"/>
      <c r="F68" s="224"/>
      <c r="G68" s="318">
        <f>(1950*0.0963)*12</f>
        <v>2253.42</v>
      </c>
      <c r="H68" s="204">
        <v>1510</v>
      </c>
      <c r="I68" s="117">
        <f t="shared" si="39"/>
        <v>743.42000000000007</v>
      </c>
      <c r="J68" s="115">
        <v>826</v>
      </c>
      <c r="K68" s="115">
        <f t="shared" si="40"/>
        <v>1945</v>
      </c>
      <c r="L68" s="117">
        <f t="shared" ref="L68:L78" si="43">SUM(J68:K68)</f>
        <v>2771</v>
      </c>
      <c r="M68" s="31">
        <f t="shared" ref="M68:M83" si="44">IFERROR(L68/H68,"N/A")</f>
        <v>1.8350993377483444</v>
      </c>
      <c r="N68" s="116">
        <f t="shared" si="41"/>
        <v>4506</v>
      </c>
      <c r="O68" s="73"/>
      <c r="P68" s="73"/>
      <c r="Q68" s="73"/>
      <c r="R68" s="73"/>
      <c r="T68" s="324">
        <v>286</v>
      </c>
      <c r="U68" s="324"/>
      <c r="V68" s="324">
        <f>606+103</f>
        <v>709</v>
      </c>
      <c r="W68" s="324">
        <v>740</v>
      </c>
      <c r="X68" s="324">
        <f>'PROGRAM BUDGET &amp; FISCAL REPORT'!L70</f>
        <v>2771</v>
      </c>
      <c r="Y68" s="324"/>
      <c r="Z68" s="324"/>
      <c r="AA68" s="324"/>
      <c r="AC68" s="326">
        <f t="shared" si="42"/>
        <v>4506</v>
      </c>
    </row>
    <row r="69" spans="1:29" x14ac:dyDescent="0.2">
      <c r="A69" s="242" t="s">
        <v>125</v>
      </c>
      <c r="B69" s="237"/>
      <c r="C69" s="238"/>
      <c r="D69" s="239"/>
      <c r="E69" s="240"/>
      <c r="F69" s="224"/>
      <c r="G69" s="318">
        <v>1160</v>
      </c>
      <c r="H69" s="204">
        <v>650</v>
      </c>
      <c r="I69" s="117">
        <f t="shared" si="39"/>
        <v>510</v>
      </c>
      <c r="J69" s="115">
        <v>119</v>
      </c>
      <c r="K69" s="115">
        <f t="shared" si="40"/>
        <v>10</v>
      </c>
      <c r="L69" s="117">
        <f t="shared" si="43"/>
        <v>129</v>
      </c>
      <c r="M69" s="31">
        <f t="shared" si="44"/>
        <v>0.19846153846153847</v>
      </c>
      <c r="N69" s="116">
        <f t="shared" si="41"/>
        <v>629</v>
      </c>
      <c r="O69" s="73"/>
      <c r="P69" s="73"/>
      <c r="Q69" s="73"/>
      <c r="R69" s="73"/>
      <c r="T69" s="324">
        <v>0</v>
      </c>
      <c r="U69" s="324"/>
      <c r="V69" s="324">
        <v>325</v>
      </c>
      <c r="W69" s="324">
        <v>175</v>
      </c>
      <c r="X69" s="324">
        <f>'PROGRAM BUDGET &amp; FISCAL REPORT'!L71</f>
        <v>129</v>
      </c>
      <c r="Y69" s="324"/>
      <c r="Z69" s="324"/>
      <c r="AA69" s="324"/>
      <c r="AC69" s="326">
        <f t="shared" si="42"/>
        <v>629</v>
      </c>
    </row>
    <row r="70" spans="1:29" x14ac:dyDescent="0.2">
      <c r="A70" s="242" t="s">
        <v>126</v>
      </c>
      <c r="B70" s="237"/>
      <c r="C70" s="238"/>
      <c r="D70" s="239"/>
      <c r="E70" s="240"/>
      <c r="F70" s="224"/>
      <c r="G70" s="318">
        <f>(42.23*6.35)*12</f>
        <v>3217.9259999999995</v>
      </c>
      <c r="H70" s="204">
        <v>1619</v>
      </c>
      <c r="I70" s="117">
        <f t="shared" si="39"/>
        <v>1598.9259999999995</v>
      </c>
      <c r="J70" s="115">
        <v>1351</v>
      </c>
      <c r="K70" s="115">
        <f t="shared" si="40"/>
        <v>1305</v>
      </c>
      <c r="L70" s="117">
        <f t="shared" si="43"/>
        <v>2656</v>
      </c>
      <c r="M70" s="31">
        <f t="shared" si="44"/>
        <v>1.6405188387893761</v>
      </c>
      <c r="N70" s="116">
        <f t="shared" si="41"/>
        <v>6564</v>
      </c>
      <c r="O70" s="327" t="s">
        <v>127</v>
      </c>
      <c r="P70" s="73"/>
      <c r="Q70" s="73"/>
      <c r="R70" s="73"/>
      <c r="T70" s="324">
        <v>430</v>
      </c>
      <c r="U70" s="324"/>
      <c r="V70" s="324">
        <v>1518</v>
      </c>
      <c r="W70" s="324">
        <v>1960</v>
      </c>
      <c r="X70" s="324">
        <f>'PROGRAM BUDGET &amp; FISCAL REPORT'!L72</f>
        <v>2656</v>
      </c>
      <c r="Y70" s="324"/>
      <c r="Z70" s="324"/>
      <c r="AA70" s="324"/>
      <c r="AC70" s="326">
        <f t="shared" si="42"/>
        <v>6564</v>
      </c>
    </row>
    <row r="71" spans="1:29" x14ac:dyDescent="0.2">
      <c r="A71" s="242" t="s">
        <v>128</v>
      </c>
      <c r="B71" s="237"/>
      <c r="C71" s="238"/>
      <c r="D71" s="239"/>
      <c r="E71" s="240"/>
      <c r="F71" s="224"/>
      <c r="G71" s="318">
        <f>13078+38000+784-1468</f>
        <v>50394</v>
      </c>
      <c r="H71" s="318">
        <f>7590-3620+2</f>
        <v>3972</v>
      </c>
      <c r="I71" s="241">
        <f t="shared" si="39"/>
        <v>46422</v>
      </c>
      <c r="J71" s="123">
        <v>0</v>
      </c>
      <c r="K71" s="115">
        <f t="shared" si="40"/>
        <v>0</v>
      </c>
      <c r="L71" s="207">
        <f t="shared" si="43"/>
        <v>0</v>
      </c>
      <c r="M71" s="227">
        <f t="shared" si="44"/>
        <v>0</v>
      </c>
      <c r="N71" s="116">
        <f t="shared" si="41"/>
        <v>64673</v>
      </c>
      <c r="O71" s="73"/>
      <c r="P71" s="73"/>
      <c r="Q71" s="73"/>
      <c r="R71" s="73"/>
      <c r="T71" s="324">
        <v>52</v>
      </c>
      <c r="U71" s="324"/>
      <c r="V71" s="324">
        <f>27480+2239+5400</f>
        <v>35119</v>
      </c>
      <c r="W71" s="324">
        <f>9600+1600+130+2800+578+75+743+2433+4097+800</f>
        <v>22856</v>
      </c>
      <c r="X71" s="324">
        <f>'PROGRAM BUDGET &amp; FISCAL REPORT'!L73</f>
        <v>0</v>
      </c>
      <c r="Y71" s="324">
        <v>0</v>
      </c>
      <c r="Z71" s="324">
        <v>3451</v>
      </c>
      <c r="AA71" s="324">
        <v>3195</v>
      </c>
      <c r="AC71" s="326">
        <f t="shared" si="42"/>
        <v>64673</v>
      </c>
    </row>
    <row r="72" spans="1:29" x14ac:dyDescent="0.2">
      <c r="A72" s="242" t="s">
        <v>129</v>
      </c>
      <c r="B72" s="237"/>
      <c r="C72" s="238"/>
      <c r="D72" s="239"/>
      <c r="E72" s="240"/>
      <c r="F72" s="224"/>
      <c r="G72" s="318">
        <v>360</v>
      </c>
      <c r="H72" s="318">
        <v>0</v>
      </c>
      <c r="I72" s="241">
        <f t="shared" si="39"/>
        <v>360</v>
      </c>
      <c r="J72" s="123">
        <v>0</v>
      </c>
      <c r="K72" s="115">
        <f t="shared" si="40"/>
        <v>1014</v>
      </c>
      <c r="L72" s="207">
        <f t="shared" si="43"/>
        <v>1014</v>
      </c>
      <c r="M72" s="227" t="str">
        <f t="shared" si="44"/>
        <v>N/A</v>
      </c>
      <c r="N72" s="116">
        <f t="shared" si="41"/>
        <v>3099</v>
      </c>
      <c r="O72" s="73"/>
      <c r="P72" s="73"/>
      <c r="Q72" s="73"/>
      <c r="R72" s="73"/>
      <c r="T72" s="324">
        <v>175</v>
      </c>
      <c r="U72" s="324"/>
      <c r="V72" s="324">
        <f>1179+296</f>
        <v>1475</v>
      </c>
      <c r="W72" s="324">
        <v>435</v>
      </c>
      <c r="X72" s="324">
        <f>'PROGRAM BUDGET &amp; FISCAL REPORT'!L74</f>
        <v>1014</v>
      </c>
      <c r="Y72" s="324"/>
      <c r="Z72" s="324"/>
      <c r="AA72" s="324"/>
      <c r="AC72" s="326">
        <f t="shared" si="42"/>
        <v>3099</v>
      </c>
    </row>
    <row r="73" spans="1:29" x14ac:dyDescent="0.2">
      <c r="A73" s="242" t="s">
        <v>130</v>
      </c>
      <c r="B73" s="237"/>
      <c r="C73" s="238"/>
      <c r="D73" s="239"/>
      <c r="E73" s="240"/>
      <c r="F73" s="224"/>
      <c r="G73" s="318">
        <v>240</v>
      </c>
      <c r="H73" s="318">
        <v>0</v>
      </c>
      <c r="I73" s="241">
        <f t="shared" si="39"/>
        <v>240</v>
      </c>
      <c r="J73" s="123">
        <v>0</v>
      </c>
      <c r="K73" s="115">
        <f t="shared" si="40"/>
        <v>14000</v>
      </c>
      <c r="L73" s="207">
        <f t="shared" si="43"/>
        <v>14000</v>
      </c>
      <c r="M73" s="227" t="str">
        <f t="shared" si="44"/>
        <v>N/A</v>
      </c>
      <c r="N73" s="116">
        <f t="shared" si="41"/>
        <v>14665</v>
      </c>
      <c r="O73" s="73"/>
      <c r="P73" s="73"/>
      <c r="Q73" s="73"/>
      <c r="R73" s="73"/>
      <c r="T73" s="324">
        <v>29</v>
      </c>
      <c r="U73" s="324"/>
      <c r="V73" s="324">
        <v>71</v>
      </c>
      <c r="W73" s="324">
        <v>565</v>
      </c>
      <c r="X73" s="324">
        <f>'PROGRAM BUDGET &amp; FISCAL REPORT'!L75</f>
        <v>14000</v>
      </c>
      <c r="Y73" s="324"/>
      <c r="Z73" s="324"/>
      <c r="AA73" s="324"/>
      <c r="AC73" s="326">
        <f t="shared" si="42"/>
        <v>14665</v>
      </c>
    </row>
    <row r="74" spans="1:29" x14ac:dyDescent="0.2">
      <c r="A74" s="242" t="s">
        <v>131</v>
      </c>
      <c r="B74" s="237"/>
      <c r="C74" s="238"/>
      <c r="D74" s="239"/>
      <c r="E74" s="240"/>
      <c r="F74" s="224"/>
      <c r="G74" s="318">
        <f>(53.39*6.35)*12</f>
        <v>4068.3180000000002</v>
      </c>
      <c r="H74" s="318">
        <v>2100</v>
      </c>
      <c r="I74" s="241">
        <f t="shared" si="39"/>
        <v>1968.3180000000002</v>
      </c>
      <c r="J74" s="123">
        <v>1424</v>
      </c>
      <c r="K74" s="115">
        <f t="shared" si="40"/>
        <v>1275</v>
      </c>
      <c r="L74" s="207">
        <f t="shared" si="43"/>
        <v>2699</v>
      </c>
      <c r="M74" s="227">
        <f t="shared" si="44"/>
        <v>1.2852380952380953</v>
      </c>
      <c r="N74" s="116">
        <f t="shared" si="41"/>
        <v>7842</v>
      </c>
      <c r="O74" s="73"/>
      <c r="P74" s="73"/>
      <c r="Q74" s="73"/>
      <c r="R74" s="73"/>
      <c r="T74" s="324">
        <v>172</v>
      </c>
      <c r="U74" s="324"/>
      <c r="V74" s="324">
        <v>3181</v>
      </c>
      <c r="W74" s="324">
        <v>1790</v>
      </c>
      <c r="X74" s="324">
        <f>'PROGRAM BUDGET &amp; FISCAL REPORT'!L76</f>
        <v>2699</v>
      </c>
      <c r="Y74" s="324"/>
      <c r="Z74" s="324"/>
      <c r="AA74" s="324"/>
      <c r="AC74" s="326">
        <f t="shared" si="42"/>
        <v>7842</v>
      </c>
    </row>
    <row r="75" spans="1:29" x14ac:dyDescent="0.2">
      <c r="A75" s="242" t="s">
        <v>132</v>
      </c>
      <c r="B75" s="237"/>
      <c r="C75" s="238"/>
      <c r="D75" s="239"/>
      <c r="E75" s="240"/>
      <c r="F75" s="224"/>
      <c r="G75" s="318">
        <v>300</v>
      </c>
      <c r="H75" s="318">
        <v>300</v>
      </c>
      <c r="I75" s="241">
        <f t="shared" si="39"/>
        <v>0</v>
      </c>
      <c r="J75" s="123">
        <v>278</v>
      </c>
      <c r="K75" s="115">
        <f t="shared" si="40"/>
        <v>402</v>
      </c>
      <c r="L75" s="207">
        <f t="shared" si="43"/>
        <v>680</v>
      </c>
      <c r="M75" s="227">
        <f t="shared" si="44"/>
        <v>2.2666666666666666</v>
      </c>
      <c r="N75" s="116">
        <f t="shared" si="41"/>
        <v>996</v>
      </c>
      <c r="O75" s="73"/>
      <c r="P75" s="73"/>
      <c r="Q75" s="73"/>
      <c r="R75" s="73"/>
      <c r="T75" s="324">
        <v>0</v>
      </c>
      <c r="U75" s="324">
        <v>31</v>
      </c>
      <c r="V75" s="324">
        <v>50</v>
      </c>
      <c r="W75" s="324">
        <v>235</v>
      </c>
      <c r="X75" s="324">
        <f>'PROGRAM BUDGET &amp; FISCAL REPORT'!L77</f>
        <v>680</v>
      </c>
      <c r="Y75" s="324"/>
      <c r="Z75" s="324"/>
      <c r="AA75" s="324"/>
      <c r="AC75" s="326">
        <f t="shared" si="42"/>
        <v>996</v>
      </c>
    </row>
    <row r="76" spans="1:29" x14ac:dyDescent="0.2">
      <c r="A76" s="242" t="s">
        <v>133</v>
      </c>
      <c r="B76" s="237"/>
      <c r="C76" s="238"/>
      <c r="D76" s="239"/>
      <c r="E76" s="240"/>
      <c r="F76" s="224"/>
      <c r="G76" s="318">
        <v>300</v>
      </c>
      <c r="H76" s="318">
        <v>300</v>
      </c>
      <c r="I76" s="241">
        <f t="shared" si="39"/>
        <v>0</v>
      </c>
      <c r="J76" s="123">
        <v>417</v>
      </c>
      <c r="K76" s="115">
        <f t="shared" si="40"/>
        <v>1476</v>
      </c>
      <c r="L76" s="207">
        <f t="shared" si="43"/>
        <v>1893</v>
      </c>
      <c r="M76" s="227">
        <f t="shared" si="44"/>
        <v>6.31</v>
      </c>
      <c r="N76" s="116">
        <f t="shared" si="41"/>
        <v>3930</v>
      </c>
      <c r="O76" s="73"/>
      <c r="P76" s="73"/>
      <c r="Q76" s="73"/>
      <c r="R76" s="73"/>
      <c r="T76" s="324">
        <v>197</v>
      </c>
      <c r="U76" s="324"/>
      <c r="V76" s="324">
        <f>861+550</f>
        <v>1411</v>
      </c>
      <c r="W76" s="324">
        <v>429</v>
      </c>
      <c r="X76" s="324">
        <f>'PROGRAM BUDGET &amp; FISCAL REPORT'!L78</f>
        <v>1893</v>
      </c>
      <c r="Y76" s="324"/>
      <c r="Z76" s="324"/>
      <c r="AA76" s="324"/>
      <c r="AC76" s="326">
        <f t="shared" si="42"/>
        <v>3930</v>
      </c>
    </row>
    <row r="77" spans="1:29" x14ac:dyDescent="0.2">
      <c r="A77" s="242" t="s">
        <v>134</v>
      </c>
      <c r="B77" s="237"/>
      <c r="C77" s="238"/>
      <c r="D77" s="239"/>
      <c r="E77" s="240"/>
      <c r="F77" s="224"/>
      <c r="G77" s="318">
        <v>3000</v>
      </c>
      <c r="H77" s="204">
        <v>3000</v>
      </c>
      <c r="I77" s="117">
        <f t="shared" si="39"/>
        <v>0</v>
      </c>
      <c r="J77" s="115">
        <v>211</v>
      </c>
      <c r="K77" s="115">
        <f t="shared" si="40"/>
        <v>-211</v>
      </c>
      <c r="L77" s="117">
        <f t="shared" si="43"/>
        <v>0</v>
      </c>
      <c r="M77" s="31">
        <f t="shared" si="44"/>
        <v>0</v>
      </c>
      <c r="N77" s="116">
        <f t="shared" si="41"/>
        <v>520</v>
      </c>
      <c r="O77" s="73"/>
      <c r="P77" s="73"/>
      <c r="Q77" s="73"/>
      <c r="R77" s="73"/>
      <c r="T77" s="324">
        <v>20</v>
      </c>
      <c r="U77" s="324"/>
      <c r="V77" s="324">
        <v>0</v>
      </c>
      <c r="W77" s="324">
        <v>500</v>
      </c>
      <c r="X77" s="324">
        <f>'PROGRAM BUDGET &amp; FISCAL REPORT'!L79</f>
        <v>0</v>
      </c>
      <c r="Y77" s="324"/>
      <c r="Z77" s="324"/>
      <c r="AA77" s="324"/>
      <c r="AC77" s="326">
        <f t="shared" si="42"/>
        <v>520</v>
      </c>
    </row>
    <row r="78" spans="1:29" x14ac:dyDescent="0.2">
      <c r="A78" s="242" t="s">
        <v>135</v>
      </c>
      <c r="B78" s="237"/>
      <c r="C78" s="238"/>
      <c r="D78" s="239"/>
      <c r="E78" s="240"/>
      <c r="F78" s="224"/>
      <c r="G78" s="320">
        <v>1880</v>
      </c>
      <c r="H78" s="204">
        <v>1080</v>
      </c>
      <c r="I78" s="207">
        <f t="shared" si="39"/>
        <v>800</v>
      </c>
      <c r="J78" s="115">
        <v>766</v>
      </c>
      <c r="K78" s="115">
        <f t="shared" si="40"/>
        <v>-102</v>
      </c>
      <c r="L78" s="207">
        <f t="shared" si="43"/>
        <v>664</v>
      </c>
      <c r="M78" s="227">
        <f t="shared" si="44"/>
        <v>0.61481481481481481</v>
      </c>
      <c r="N78" s="116">
        <f t="shared" si="41"/>
        <v>1837</v>
      </c>
      <c r="O78" s="73"/>
      <c r="P78" s="73"/>
      <c r="Q78" s="73"/>
      <c r="R78" s="73"/>
      <c r="T78" s="324">
        <v>33</v>
      </c>
      <c r="U78" s="324"/>
      <c r="V78" s="324">
        <v>190</v>
      </c>
      <c r="W78" s="324">
        <v>950</v>
      </c>
      <c r="X78" s="324">
        <f>'PROGRAM BUDGET &amp; FISCAL REPORT'!L80</f>
        <v>664</v>
      </c>
      <c r="Y78" s="324"/>
      <c r="Z78" s="324"/>
      <c r="AA78" s="324"/>
      <c r="AC78" s="326">
        <f t="shared" si="42"/>
        <v>1837</v>
      </c>
    </row>
    <row r="79" spans="1:29" x14ac:dyDescent="0.2">
      <c r="A79" s="244" t="s">
        <v>136</v>
      </c>
      <c r="B79" s="237"/>
      <c r="C79" s="238"/>
      <c r="D79" s="239"/>
      <c r="E79" s="240"/>
      <c r="F79" s="224"/>
      <c r="G79" s="318">
        <v>575</v>
      </c>
      <c r="H79" s="204">
        <v>575</v>
      </c>
      <c r="I79" s="117">
        <f t="shared" si="39"/>
        <v>0</v>
      </c>
      <c r="J79" s="115">
        <v>180</v>
      </c>
      <c r="K79" s="115">
        <f t="shared" si="40"/>
        <v>0</v>
      </c>
      <c r="L79" s="117">
        <f t="shared" ref="L79:L83" si="45">SUM(J79:K79)</f>
        <v>180</v>
      </c>
      <c r="M79" s="31">
        <f t="shared" si="44"/>
        <v>0.31304347826086959</v>
      </c>
      <c r="N79" s="116">
        <f t="shared" si="41"/>
        <v>980</v>
      </c>
      <c r="O79" s="73"/>
      <c r="P79" s="73"/>
      <c r="Q79" s="73"/>
      <c r="R79" s="73"/>
      <c r="T79" s="324">
        <v>0</v>
      </c>
      <c r="U79" s="324"/>
      <c r="V79" s="324">
        <v>0</v>
      </c>
      <c r="W79" s="324">
        <v>800</v>
      </c>
      <c r="X79" s="324">
        <f>'PROGRAM BUDGET &amp; FISCAL REPORT'!L81</f>
        <v>180</v>
      </c>
      <c r="Y79" s="324"/>
      <c r="Z79" s="324"/>
      <c r="AA79" s="324"/>
      <c r="AC79" s="326">
        <f t="shared" si="42"/>
        <v>980</v>
      </c>
    </row>
    <row r="80" spans="1:29" x14ac:dyDescent="0.2">
      <c r="A80" s="244" t="s">
        <v>137</v>
      </c>
      <c r="B80" s="237"/>
      <c r="C80" s="238"/>
      <c r="D80" s="239"/>
      <c r="E80" s="240"/>
      <c r="F80" s="224"/>
      <c r="G80" s="319">
        <v>770</v>
      </c>
      <c r="H80" s="204">
        <v>770</v>
      </c>
      <c r="I80" s="117">
        <f t="shared" si="39"/>
        <v>0</v>
      </c>
      <c r="J80" s="115">
        <v>235</v>
      </c>
      <c r="K80" s="115">
        <f t="shared" si="40"/>
        <v>0</v>
      </c>
      <c r="L80" s="117">
        <f t="shared" si="45"/>
        <v>235</v>
      </c>
      <c r="M80" s="31">
        <f t="shared" si="44"/>
        <v>0.30519480519480519</v>
      </c>
      <c r="N80" s="116">
        <f t="shared" si="41"/>
        <v>531</v>
      </c>
      <c r="O80" s="73"/>
      <c r="P80" s="73"/>
      <c r="Q80" s="73"/>
      <c r="R80" s="73"/>
      <c r="T80" s="324">
        <v>296</v>
      </c>
      <c r="U80" s="324"/>
      <c r="V80" s="324">
        <v>0</v>
      </c>
      <c r="W80" s="324">
        <v>0</v>
      </c>
      <c r="X80" s="324">
        <f>'PROGRAM BUDGET &amp; FISCAL REPORT'!L82</f>
        <v>235</v>
      </c>
      <c r="Y80" s="324"/>
      <c r="Z80" s="324"/>
      <c r="AA80" s="324"/>
      <c r="AC80" s="326">
        <f t="shared" si="42"/>
        <v>531</v>
      </c>
    </row>
    <row r="81" spans="1:29" x14ac:dyDescent="0.2">
      <c r="A81" s="242" t="s">
        <v>138</v>
      </c>
      <c r="B81" s="237"/>
      <c r="C81" s="245"/>
      <c r="D81" s="246"/>
      <c r="E81" s="247"/>
      <c r="F81" s="224"/>
      <c r="G81" s="318">
        <v>1500</v>
      </c>
      <c r="H81" s="204">
        <v>1500</v>
      </c>
      <c r="I81" s="117">
        <f t="shared" si="39"/>
        <v>0</v>
      </c>
      <c r="J81" s="115">
        <v>475</v>
      </c>
      <c r="K81" s="115">
        <f t="shared" si="40"/>
        <v>1711</v>
      </c>
      <c r="L81" s="117">
        <f t="shared" ref="L81:L82" si="46">SUM(J81:K81)</f>
        <v>2186</v>
      </c>
      <c r="M81" s="31">
        <f t="shared" si="44"/>
        <v>1.4573333333333334</v>
      </c>
      <c r="N81" s="116">
        <f t="shared" si="41"/>
        <v>6131</v>
      </c>
      <c r="O81" s="73"/>
      <c r="P81" s="73"/>
      <c r="Q81" s="73"/>
      <c r="R81" s="73"/>
      <c r="T81" s="324">
        <v>0</v>
      </c>
      <c r="U81" s="324"/>
      <c r="V81" s="324">
        <v>3370</v>
      </c>
      <c r="W81" s="324">
        <v>575</v>
      </c>
      <c r="X81" s="324">
        <f>'PROGRAM BUDGET &amp; FISCAL REPORT'!L83</f>
        <v>2186</v>
      </c>
      <c r="Y81" s="324"/>
      <c r="Z81" s="324"/>
      <c r="AA81" s="324"/>
      <c r="AC81" s="326">
        <f t="shared" si="42"/>
        <v>6131</v>
      </c>
    </row>
    <row r="82" spans="1:29" x14ac:dyDescent="0.2">
      <c r="A82" s="244"/>
      <c r="B82" s="237"/>
      <c r="C82" s="245"/>
      <c r="D82" s="246"/>
      <c r="E82" s="247"/>
      <c r="F82" s="224"/>
      <c r="G82" s="319">
        <v>0</v>
      </c>
      <c r="H82" s="204">
        <v>0</v>
      </c>
      <c r="I82" s="117">
        <f t="shared" si="39"/>
        <v>0</v>
      </c>
      <c r="J82" s="115">
        <v>0</v>
      </c>
      <c r="K82" s="115">
        <v>0</v>
      </c>
      <c r="L82" s="117">
        <f t="shared" si="46"/>
        <v>0</v>
      </c>
      <c r="M82" s="31" t="str">
        <f t="shared" si="44"/>
        <v>N/A</v>
      </c>
      <c r="N82" s="116">
        <f t="shared" si="41"/>
        <v>0</v>
      </c>
      <c r="O82" s="73"/>
      <c r="P82" s="73"/>
      <c r="Q82" s="73"/>
      <c r="R82" s="73"/>
      <c r="T82" s="324"/>
      <c r="U82" s="324"/>
      <c r="V82" s="324"/>
      <c r="W82" s="324"/>
      <c r="X82" s="324">
        <f>'PROGRAM BUDGET &amp; FISCAL REPORT'!L84</f>
        <v>0</v>
      </c>
      <c r="Y82" s="324"/>
      <c r="Z82" s="324"/>
      <c r="AA82" s="324"/>
      <c r="AC82" s="326">
        <f t="shared" si="42"/>
        <v>0</v>
      </c>
    </row>
    <row r="83" spans="1:29" x14ac:dyDescent="0.2">
      <c r="A83" s="244"/>
      <c r="B83" s="237"/>
      <c r="C83" s="245"/>
      <c r="D83" s="246"/>
      <c r="E83" s="247"/>
      <c r="F83" s="224"/>
      <c r="G83" s="318">
        <v>0</v>
      </c>
      <c r="H83" s="204">
        <v>0</v>
      </c>
      <c r="I83" s="117">
        <f t="shared" si="39"/>
        <v>0</v>
      </c>
      <c r="J83" s="115">
        <v>0</v>
      </c>
      <c r="K83" s="115">
        <v>0</v>
      </c>
      <c r="L83" s="117">
        <f t="shared" si="45"/>
        <v>0</v>
      </c>
      <c r="M83" s="31" t="str">
        <f t="shared" si="44"/>
        <v>N/A</v>
      </c>
      <c r="N83" s="116">
        <f t="shared" si="41"/>
        <v>0</v>
      </c>
      <c r="O83" s="73"/>
      <c r="P83" s="73"/>
      <c r="Q83" s="73"/>
      <c r="R83" s="73"/>
      <c r="T83" s="324"/>
      <c r="U83" s="324"/>
      <c r="V83" s="324"/>
      <c r="W83" s="324"/>
      <c r="X83" s="324">
        <f t="shared" ref="X83" si="47">J83</f>
        <v>0</v>
      </c>
      <c r="Y83" s="324"/>
      <c r="Z83" s="324"/>
      <c r="AA83" s="324"/>
      <c r="AC83" s="326">
        <f t="shared" si="42"/>
        <v>0</v>
      </c>
    </row>
    <row r="84" spans="1:29" ht="13.5" thickBot="1" x14ac:dyDescent="0.25">
      <c r="A84" s="229"/>
      <c r="B84" s="42"/>
      <c r="C84" s="230" t="s">
        <v>139</v>
      </c>
      <c r="D84" s="231"/>
      <c r="E84" s="231"/>
      <c r="F84" s="232"/>
      <c r="G84" s="233">
        <f t="shared" ref="G84:L84" si="48">SUM(G66:G83)</f>
        <v>83021.7641</v>
      </c>
      <c r="H84" s="233">
        <f t="shared" si="48"/>
        <v>26088</v>
      </c>
      <c r="I84" s="233">
        <f t="shared" si="48"/>
        <v>56933.7641</v>
      </c>
      <c r="J84" s="233">
        <f t="shared" si="48"/>
        <v>11455</v>
      </c>
      <c r="K84" s="233">
        <f t="shared" si="48"/>
        <v>36755</v>
      </c>
      <c r="L84" s="233">
        <f t="shared" si="48"/>
        <v>48210</v>
      </c>
      <c r="M84" s="234">
        <f>IFERROR(L84/H84,"N/A")</f>
        <v>1.8479760809567618</v>
      </c>
      <c r="N84" s="235">
        <f>SUM(N66:N83)</f>
        <v>142909</v>
      </c>
      <c r="O84" s="96"/>
      <c r="P84" s="243"/>
      <c r="Q84" s="96"/>
      <c r="R84" s="243"/>
      <c r="T84" s="233">
        <f t="shared" ref="T84:AA84" si="49">SUM(T66:T83)</f>
        <v>2508</v>
      </c>
      <c r="U84" s="233">
        <f t="shared" si="49"/>
        <v>31</v>
      </c>
      <c r="V84" s="233">
        <f t="shared" si="49"/>
        <v>53019</v>
      </c>
      <c r="W84" s="233">
        <f t="shared" si="49"/>
        <v>32495</v>
      </c>
      <c r="X84" s="233">
        <f t="shared" si="49"/>
        <v>48210</v>
      </c>
      <c r="Y84" s="233">
        <f t="shared" si="49"/>
        <v>0</v>
      </c>
      <c r="Z84" s="233">
        <f t="shared" si="49"/>
        <v>3451</v>
      </c>
      <c r="AA84" s="233">
        <f t="shared" si="49"/>
        <v>3195</v>
      </c>
      <c r="AC84" s="233">
        <f t="shared" ref="AC84" si="50">SUM(AC66:AC83)</f>
        <v>142909</v>
      </c>
    </row>
    <row r="85" spans="1:29" ht="13.5" thickBot="1" x14ac:dyDescent="0.25">
      <c r="A85" s="30"/>
      <c r="B85" s="30"/>
      <c r="C85" s="30"/>
      <c r="D85" s="30"/>
      <c r="E85" s="30"/>
      <c r="F85" s="30"/>
      <c r="O85" s="73"/>
      <c r="P85" s="73"/>
      <c r="Q85" s="73"/>
      <c r="R85" s="73"/>
    </row>
    <row r="86" spans="1:29" s="50" customFormat="1" x14ac:dyDescent="0.2">
      <c r="A86" s="12" t="s">
        <v>140</v>
      </c>
      <c r="B86" s="11"/>
      <c r="C86" s="11"/>
      <c r="D86" s="11"/>
      <c r="E86" s="11"/>
      <c r="F86" s="10"/>
      <c r="G86" s="9"/>
      <c r="H86" s="9"/>
      <c r="I86" s="9"/>
      <c r="J86" s="9"/>
      <c r="K86" s="9"/>
      <c r="L86" s="9"/>
      <c r="M86" s="8"/>
      <c r="N86" s="7"/>
      <c r="O86" s="73"/>
      <c r="P86" s="73"/>
      <c r="Q86" s="73"/>
      <c r="R86" s="73"/>
    </row>
    <row r="87" spans="1:29" x14ac:dyDescent="0.2">
      <c r="A87" s="54" t="s">
        <v>141</v>
      </c>
      <c r="B87" s="55"/>
      <c r="C87" s="55"/>
      <c r="D87" s="55"/>
      <c r="E87" s="55"/>
      <c r="F87" s="48"/>
      <c r="G87" s="15"/>
      <c r="H87" s="15"/>
      <c r="I87" s="15"/>
      <c r="J87" s="15"/>
      <c r="K87" s="15"/>
      <c r="L87" s="15"/>
      <c r="M87" s="14"/>
      <c r="N87" s="13"/>
      <c r="O87" s="74"/>
      <c r="P87" s="74"/>
      <c r="Q87" s="74"/>
      <c r="R87" s="74"/>
    </row>
    <row r="88" spans="1:29" ht="33.75" x14ac:dyDescent="0.2">
      <c r="A88" s="43" t="s">
        <v>107</v>
      </c>
      <c r="B88" s="44"/>
      <c r="C88" s="45"/>
      <c r="D88" s="45"/>
      <c r="E88" s="45"/>
      <c r="F88" s="45"/>
      <c r="G88" s="32" t="s">
        <v>37</v>
      </c>
      <c r="H88" s="32" t="s">
        <v>38</v>
      </c>
      <c r="I88" s="32" t="s">
        <v>39</v>
      </c>
      <c r="J88" s="32" t="s">
        <v>40</v>
      </c>
      <c r="K88" s="32" t="s">
        <v>41</v>
      </c>
      <c r="L88" s="32" t="s">
        <v>42</v>
      </c>
      <c r="M88" s="40" t="s">
        <v>43</v>
      </c>
      <c r="N88" s="41" t="s">
        <v>44</v>
      </c>
      <c r="O88" s="72" t="s">
        <v>80</v>
      </c>
      <c r="P88" s="72" t="s">
        <v>81</v>
      </c>
      <c r="Q88" s="72" t="s">
        <v>82</v>
      </c>
      <c r="R88" s="72" t="s">
        <v>83</v>
      </c>
    </row>
    <row r="89" spans="1:29" x14ac:dyDescent="0.2">
      <c r="A89" s="236"/>
      <c r="B89" s="237"/>
      <c r="C89" s="238"/>
      <c r="D89" s="239"/>
      <c r="E89" s="240"/>
      <c r="F89" s="224"/>
      <c r="G89" s="204">
        <v>0</v>
      </c>
      <c r="H89" s="204">
        <v>0</v>
      </c>
      <c r="I89" s="117">
        <f t="shared" ref="I89:I91" si="51">G89-H89</f>
        <v>0</v>
      </c>
      <c r="J89" s="115">
        <v>0</v>
      </c>
      <c r="K89" s="115">
        <v>0</v>
      </c>
      <c r="L89" s="117">
        <f>SUM(J89:K89)</f>
        <v>0</v>
      </c>
      <c r="M89" s="31" t="str">
        <f>IFERROR(L89/H89,"N/A")</f>
        <v>N/A</v>
      </c>
      <c r="N89" s="116">
        <f t="shared" ref="N89:N91" si="52">AC89</f>
        <v>0</v>
      </c>
      <c r="O89" s="73"/>
      <c r="P89" s="73"/>
      <c r="Q89" s="73"/>
      <c r="R89" s="73"/>
      <c r="X89" s="324">
        <f t="shared" ref="X89:X91" si="53">J89</f>
        <v>0</v>
      </c>
      <c r="AC89" s="326">
        <f t="shared" ref="AC89:AC91" si="54">AA89+Z89+Y89+X89+W89+V89+U89+T89</f>
        <v>0</v>
      </c>
    </row>
    <row r="90" spans="1:29" x14ac:dyDescent="0.2">
      <c r="A90" s="242"/>
      <c r="B90" s="237"/>
      <c r="C90" s="238"/>
      <c r="D90" s="239"/>
      <c r="E90" s="240"/>
      <c r="F90" s="224"/>
      <c r="G90" s="204">
        <v>0</v>
      </c>
      <c r="H90" s="204">
        <v>0</v>
      </c>
      <c r="I90" s="117">
        <f t="shared" si="51"/>
        <v>0</v>
      </c>
      <c r="J90" s="115">
        <v>0</v>
      </c>
      <c r="K90" s="115">
        <v>0</v>
      </c>
      <c r="L90" s="117">
        <f t="shared" ref="L90:L91" si="55">SUM(J90:K90)</f>
        <v>0</v>
      </c>
      <c r="M90" s="31" t="str">
        <f t="shared" ref="M90:M91" si="56">IFERROR(L90/H90,"N/A")</f>
        <v>N/A</v>
      </c>
      <c r="N90" s="116">
        <f t="shared" si="52"/>
        <v>0</v>
      </c>
      <c r="O90" s="73"/>
      <c r="P90" s="73"/>
      <c r="Q90" s="73"/>
      <c r="R90" s="73"/>
      <c r="X90" s="324">
        <f t="shared" si="53"/>
        <v>0</v>
      </c>
      <c r="AC90" s="326">
        <f t="shared" si="54"/>
        <v>0</v>
      </c>
    </row>
    <row r="91" spans="1:29" x14ac:dyDescent="0.2">
      <c r="A91" s="242"/>
      <c r="B91" s="237"/>
      <c r="C91" s="238"/>
      <c r="D91" s="239"/>
      <c r="E91" s="240"/>
      <c r="F91" s="224"/>
      <c r="G91" s="204">
        <v>0</v>
      </c>
      <c r="H91" s="204">
        <v>0</v>
      </c>
      <c r="I91" s="117">
        <f t="shared" si="51"/>
        <v>0</v>
      </c>
      <c r="J91" s="115">
        <v>0</v>
      </c>
      <c r="K91" s="115">
        <v>0</v>
      </c>
      <c r="L91" s="117">
        <f t="shared" si="55"/>
        <v>0</v>
      </c>
      <c r="M91" s="31" t="str">
        <f t="shared" si="56"/>
        <v>N/A</v>
      </c>
      <c r="N91" s="116">
        <f t="shared" si="52"/>
        <v>0</v>
      </c>
      <c r="O91" s="73"/>
      <c r="P91" s="73"/>
      <c r="Q91" s="73"/>
      <c r="R91" s="73"/>
      <c r="X91" s="324">
        <f t="shared" si="53"/>
        <v>0</v>
      </c>
      <c r="AC91" s="326">
        <f t="shared" si="54"/>
        <v>0</v>
      </c>
    </row>
    <row r="92" spans="1:29" ht="13.5" thickBot="1" x14ac:dyDescent="0.25">
      <c r="A92" s="229"/>
      <c r="B92" s="42"/>
      <c r="C92" s="230" t="s">
        <v>142</v>
      </c>
      <c r="D92" s="231"/>
      <c r="E92" s="231"/>
      <c r="F92" s="232"/>
      <c r="G92" s="233">
        <f t="shared" ref="G92:L92" si="57">SUM(G89:G91)</f>
        <v>0</v>
      </c>
      <c r="H92" s="233">
        <f t="shared" si="57"/>
        <v>0</v>
      </c>
      <c r="I92" s="233">
        <f t="shared" si="57"/>
        <v>0</v>
      </c>
      <c r="J92" s="233">
        <f t="shared" si="57"/>
        <v>0</v>
      </c>
      <c r="K92" s="233">
        <f t="shared" si="57"/>
        <v>0</v>
      </c>
      <c r="L92" s="233">
        <f t="shared" si="57"/>
        <v>0</v>
      </c>
      <c r="M92" s="234" t="str">
        <f>IFERROR(L92/H92,"N/A")</f>
        <v>N/A</v>
      </c>
      <c r="N92" s="235">
        <f>SUM(N89:N91)</f>
        <v>0</v>
      </c>
      <c r="O92" s="96"/>
      <c r="P92" s="243"/>
      <c r="Q92" s="96"/>
      <c r="R92" s="243"/>
      <c r="T92" s="233">
        <f t="shared" ref="T92:AA92" si="58">SUM(T89:T91)</f>
        <v>0</v>
      </c>
      <c r="U92" s="233">
        <f t="shared" si="58"/>
        <v>0</v>
      </c>
      <c r="V92" s="233">
        <f t="shared" si="58"/>
        <v>0</v>
      </c>
      <c r="W92" s="233">
        <f t="shared" si="58"/>
        <v>0</v>
      </c>
      <c r="X92" s="233">
        <f t="shared" si="58"/>
        <v>0</v>
      </c>
      <c r="Y92" s="233">
        <f t="shared" si="58"/>
        <v>0</v>
      </c>
      <c r="Z92" s="233">
        <f t="shared" si="58"/>
        <v>0</v>
      </c>
      <c r="AA92" s="233">
        <f t="shared" si="58"/>
        <v>0</v>
      </c>
      <c r="AC92" s="233">
        <f t="shared" ref="AC92" si="59">SUM(AC89:AC91)</f>
        <v>0</v>
      </c>
    </row>
    <row r="93" spans="1:29" ht="13.5" thickBot="1" x14ac:dyDescent="0.25">
      <c r="A93" s="30"/>
      <c r="B93" s="30"/>
      <c r="C93" s="30"/>
      <c r="D93" s="30"/>
      <c r="E93" s="30"/>
      <c r="F93" s="30"/>
      <c r="O93" s="73"/>
      <c r="P93" s="73"/>
      <c r="Q93" s="73"/>
      <c r="R93" s="73"/>
    </row>
    <row r="94" spans="1:29" s="50" customFormat="1" x14ac:dyDescent="0.2">
      <c r="A94" s="12" t="s">
        <v>143</v>
      </c>
      <c r="B94" s="11"/>
      <c r="C94" s="11"/>
      <c r="D94" s="11"/>
      <c r="E94" s="11"/>
      <c r="F94" s="10"/>
      <c r="G94" s="9"/>
      <c r="H94" s="9"/>
      <c r="I94" s="9"/>
      <c r="J94" s="9"/>
      <c r="K94" s="9"/>
      <c r="L94" s="9"/>
      <c r="M94" s="8"/>
      <c r="N94" s="7"/>
      <c r="O94" s="73"/>
      <c r="P94" s="73"/>
      <c r="Q94" s="73"/>
      <c r="R94" s="73"/>
    </row>
    <row r="95" spans="1:29" x14ac:dyDescent="0.2">
      <c r="A95" s="54" t="s">
        <v>144</v>
      </c>
      <c r="B95" s="55"/>
      <c r="C95" s="55"/>
      <c r="D95" s="55"/>
      <c r="E95" s="55"/>
      <c r="F95" s="48"/>
      <c r="G95" s="15"/>
      <c r="H95" s="15"/>
      <c r="I95" s="15"/>
      <c r="J95" s="15"/>
      <c r="K95" s="15"/>
      <c r="L95" s="15"/>
      <c r="M95" s="14"/>
      <c r="N95" s="13"/>
      <c r="O95" s="74"/>
      <c r="P95" s="74"/>
      <c r="Q95" s="74"/>
      <c r="R95" s="74"/>
    </row>
    <row r="96" spans="1:29" ht="33.75" x14ac:dyDescent="0.2">
      <c r="A96" s="43" t="s">
        <v>107</v>
      </c>
      <c r="B96" s="44"/>
      <c r="C96" s="45"/>
      <c r="D96" s="45"/>
      <c r="E96" s="45"/>
      <c r="F96" s="45"/>
      <c r="G96" s="32" t="s">
        <v>37</v>
      </c>
      <c r="H96" s="32" t="s">
        <v>38</v>
      </c>
      <c r="I96" s="32" t="s">
        <v>39</v>
      </c>
      <c r="J96" s="32" t="s">
        <v>40</v>
      </c>
      <c r="K96" s="32" t="s">
        <v>41</v>
      </c>
      <c r="L96" s="32" t="s">
        <v>42</v>
      </c>
      <c r="M96" s="40" t="s">
        <v>43</v>
      </c>
      <c r="N96" s="41" t="s">
        <v>44</v>
      </c>
      <c r="O96" s="72" t="s">
        <v>80</v>
      </c>
      <c r="P96" s="72" t="s">
        <v>81</v>
      </c>
      <c r="Q96" s="72" t="s">
        <v>82</v>
      </c>
      <c r="R96" s="72" t="s">
        <v>83</v>
      </c>
    </row>
    <row r="97" spans="1:29" x14ac:dyDescent="0.2">
      <c r="A97" s="236"/>
      <c r="B97" s="237"/>
      <c r="C97" s="238"/>
      <c r="D97" s="239"/>
      <c r="E97" s="240"/>
      <c r="F97" s="224"/>
      <c r="G97" s="204">
        <v>0</v>
      </c>
      <c r="H97" s="204">
        <v>0</v>
      </c>
      <c r="I97" s="117">
        <f t="shared" ref="I97:I99" si="60">G97-H97</f>
        <v>0</v>
      </c>
      <c r="J97" s="115">
        <v>0</v>
      </c>
      <c r="K97" s="115">
        <v>0</v>
      </c>
      <c r="L97" s="117">
        <f>SUM(J97:K97)</f>
        <v>0</v>
      </c>
      <c r="M97" s="31" t="str">
        <f>IFERROR(L97/H97,"N/A")</f>
        <v>N/A</v>
      </c>
      <c r="N97" s="116">
        <f t="shared" ref="N97:N99" si="61">AC97</f>
        <v>0</v>
      </c>
      <c r="O97" s="73"/>
      <c r="P97" s="73"/>
      <c r="Q97" s="73"/>
      <c r="R97" s="73"/>
      <c r="X97" s="324">
        <f t="shared" ref="X97:X99" si="62">J97</f>
        <v>0</v>
      </c>
      <c r="AC97" s="326">
        <f t="shared" ref="AC97:AC99" si="63">AA97+Z97+Y97+X97+W97+V97+U97+T97</f>
        <v>0</v>
      </c>
    </row>
    <row r="98" spans="1:29" x14ac:dyDescent="0.2">
      <c r="A98" s="242"/>
      <c r="B98" s="237"/>
      <c r="C98" s="238"/>
      <c r="D98" s="239"/>
      <c r="E98" s="240"/>
      <c r="F98" s="224"/>
      <c r="G98" s="204">
        <v>0</v>
      </c>
      <c r="H98" s="204">
        <v>0</v>
      </c>
      <c r="I98" s="117">
        <f t="shared" si="60"/>
        <v>0</v>
      </c>
      <c r="J98" s="115">
        <v>0</v>
      </c>
      <c r="K98" s="115">
        <v>0</v>
      </c>
      <c r="L98" s="117">
        <f t="shared" ref="L98:L99" si="64">SUM(J98:K98)</f>
        <v>0</v>
      </c>
      <c r="M98" s="31" t="str">
        <f t="shared" ref="M98:M99" si="65">IFERROR(L98/H98,"N/A")</f>
        <v>N/A</v>
      </c>
      <c r="N98" s="116">
        <f t="shared" si="61"/>
        <v>0</v>
      </c>
      <c r="O98" s="73"/>
      <c r="P98" s="73"/>
      <c r="Q98" s="73"/>
      <c r="R98" s="73"/>
      <c r="X98" s="324">
        <f t="shared" si="62"/>
        <v>0</v>
      </c>
      <c r="AC98" s="326">
        <f t="shared" si="63"/>
        <v>0</v>
      </c>
    </row>
    <row r="99" spans="1:29" x14ac:dyDescent="0.2">
      <c r="A99" s="242"/>
      <c r="B99" s="237"/>
      <c r="C99" s="238"/>
      <c r="D99" s="239"/>
      <c r="E99" s="240"/>
      <c r="F99" s="224"/>
      <c r="G99" s="204">
        <v>0</v>
      </c>
      <c r="H99" s="204">
        <v>0</v>
      </c>
      <c r="I99" s="117">
        <f t="shared" si="60"/>
        <v>0</v>
      </c>
      <c r="J99" s="115">
        <v>0</v>
      </c>
      <c r="K99" s="115">
        <v>0</v>
      </c>
      <c r="L99" s="117">
        <f t="shared" si="64"/>
        <v>0</v>
      </c>
      <c r="M99" s="31" t="str">
        <f t="shared" si="65"/>
        <v>N/A</v>
      </c>
      <c r="N99" s="116">
        <f t="shared" si="61"/>
        <v>0</v>
      </c>
      <c r="O99" s="73"/>
      <c r="P99" s="73"/>
      <c r="Q99" s="73"/>
      <c r="R99" s="73"/>
      <c r="X99" s="324">
        <f t="shared" si="62"/>
        <v>0</v>
      </c>
      <c r="AC99" s="326">
        <f t="shared" si="63"/>
        <v>0</v>
      </c>
    </row>
    <row r="100" spans="1:29" ht="13.5" thickBot="1" x14ac:dyDescent="0.25">
      <c r="A100" s="229"/>
      <c r="B100" s="42"/>
      <c r="C100" s="230" t="s">
        <v>145</v>
      </c>
      <c r="D100" s="231"/>
      <c r="E100" s="231"/>
      <c r="F100" s="232"/>
      <c r="G100" s="233">
        <f t="shared" ref="G100:L100" si="66">SUM(G97:G99)</f>
        <v>0</v>
      </c>
      <c r="H100" s="233">
        <f t="shared" si="66"/>
        <v>0</v>
      </c>
      <c r="I100" s="233">
        <f t="shared" si="66"/>
        <v>0</v>
      </c>
      <c r="J100" s="233">
        <f t="shared" si="66"/>
        <v>0</v>
      </c>
      <c r="K100" s="233">
        <f t="shared" si="66"/>
        <v>0</v>
      </c>
      <c r="L100" s="233">
        <f t="shared" si="66"/>
        <v>0</v>
      </c>
      <c r="M100" s="234" t="str">
        <f>IFERROR(L100/H100,"N/A")</f>
        <v>N/A</v>
      </c>
      <c r="N100" s="235">
        <f>SUM(N97:N99)</f>
        <v>0</v>
      </c>
      <c r="O100" s="96"/>
      <c r="P100" s="243"/>
      <c r="Q100" s="96"/>
      <c r="R100" s="243"/>
      <c r="T100" s="233">
        <f t="shared" ref="T100:AA100" si="67">SUM(T97:T99)</f>
        <v>0</v>
      </c>
      <c r="U100" s="233">
        <f t="shared" si="67"/>
        <v>0</v>
      </c>
      <c r="V100" s="233">
        <f t="shared" si="67"/>
        <v>0</v>
      </c>
      <c r="W100" s="233">
        <f t="shared" si="67"/>
        <v>0</v>
      </c>
      <c r="X100" s="233">
        <f t="shared" si="67"/>
        <v>0</v>
      </c>
      <c r="Y100" s="233">
        <f t="shared" si="67"/>
        <v>0</v>
      </c>
      <c r="Z100" s="233">
        <f t="shared" si="67"/>
        <v>0</v>
      </c>
      <c r="AA100" s="233">
        <f t="shared" si="67"/>
        <v>0</v>
      </c>
      <c r="AC100" s="233">
        <f t="shared" ref="AC100" si="68">SUM(AC97:AC99)</f>
        <v>0</v>
      </c>
    </row>
    <row r="101" spans="1:29" ht="13.5" thickBot="1" x14ac:dyDescent="0.25">
      <c r="A101" s="30"/>
      <c r="B101" s="30"/>
      <c r="C101" s="30"/>
      <c r="D101" s="30"/>
      <c r="E101" s="30"/>
      <c r="F101" s="30"/>
      <c r="O101" s="73"/>
      <c r="P101" s="73"/>
      <c r="Q101" s="73"/>
      <c r="R101" s="73"/>
    </row>
    <row r="102" spans="1:29" s="50" customFormat="1" x14ac:dyDescent="0.2">
      <c r="A102" s="12" t="s">
        <v>146</v>
      </c>
      <c r="B102" s="11"/>
      <c r="C102" s="11"/>
      <c r="D102" s="11"/>
      <c r="E102" s="11"/>
      <c r="F102" s="10"/>
      <c r="G102" s="9"/>
      <c r="H102" s="9"/>
      <c r="I102" s="9"/>
      <c r="J102" s="9"/>
      <c r="K102" s="9"/>
      <c r="L102" s="9"/>
      <c r="M102" s="8"/>
      <c r="N102" s="7"/>
      <c r="O102" s="73"/>
      <c r="P102" s="73"/>
      <c r="Q102" s="73"/>
      <c r="R102" s="73"/>
    </row>
    <row r="103" spans="1:29" s="50" customFormat="1" ht="11.25" x14ac:dyDescent="0.2">
      <c r="A103" s="54" t="s">
        <v>147</v>
      </c>
      <c r="B103" s="47"/>
      <c r="C103" s="47"/>
      <c r="D103" s="47"/>
      <c r="E103" s="47"/>
      <c r="F103" s="48"/>
      <c r="G103" s="48"/>
      <c r="H103" s="48"/>
      <c r="I103" s="48"/>
      <c r="J103" s="48"/>
      <c r="K103" s="48"/>
      <c r="L103" s="48"/>
      <c r="M103" s="94"/>
      <c r="N103" s="49"/>
      <c r="O103" s="74"/>
      <c r="P103" s="74"/>
      <c r="Q103" s="74"/>
      <c r="R103" s="74"/>
    </row>
    <row r="104" spans="1:29" s="50" customFormat="1" ht="11.25" x14ac:dyDescent="0.2">
      <c r="A104" s="58" t="s">
        <v>148</v>
      </c>
      <c r="B104" s="47"/>
      <c r="C104" s="47"/>
      <c r="D104" s="47"/>
      <c r="E104" s="47"/>
      <c r="F104" s="48"/>
      <c r="G104" s="48"/>
      <c r="H104" s="48"/>
      <c r="I104" s="48"/>
      <c r="J104" s="48"/>
      <c r="K104" s="48"/>
      <c r="L104" s="48"/>
      <c r="M104" s="94"/>
      <c r="N104" s="49"/>
      <c r="O104" s="74"/>
      <c r="P104" s="74"/>
      <c r="Q104" s="74"/>
      <c r="R104" s="74"/>
    </row>
    <row r="105" spans="1:29" s="50" customFormat="1" ht="11.25" x14ac:dyDescent="0.2">
      <c r="A105" s="58" t="s">
        <v>149</v>
      </c>
      <c r="B105" s="47"/>
      <c r="C105" s="47"/>
      <c r="D105" s="47"/>
      <c r="E105" s="47"/>
      <c r="F105" s="47"/>
      <c r="G105" s="51"/>
      <c r="H105" s="51"/>
      <c r="I105" s="51"/>
      <c r="J105" s="51"/>
      <c r="K105" s="51"/>
      <c r="L105" s="51"/>
      <c r="M105" s="52"/>
      <c r="N105" s="53"/>
      <c r="O105" s="74"/>
      <c r="P105" s="74"/>
      <c r="Q105" s="74"/>
      <c r="R105" s="74"/>
    </row>
    <row r="106" spans="1:29" ht="34.5" thickBot="1" x14ac:dyDescent="0.25">
      <c r="A106" s="43" t="s">
        <v>107</v>
      </c>
      <c r="B106" s="44"/>
      <c r="C106" s="45"/>
      <c r="D106" s="45"/>
      <c r="E106" s="45"/>
      <c r="F106" s="45"/>
      <c r="G106" s="32" t="s">
        <v>37</v>
      </c>
      <c r="H106" s="32" t="s">
        <v>38</v>
      </c>
      <c r="I106" s="32" t="s">
        <v>39</v>
      </c>
      <c r="J106" s="32" t="s">
        <v>40</v>
      </c>
      <c r="K106" s="32" t="s">
        <v>41</v>
      </c>
      <c r="L106" s="32" t="s">
        <v>42</v>
      </c>
      <c r="M106" s="40" t="s">
        <v>43</v>
      </c>
      <c r="N106" s="41" t="s">
        <v>44</v>
      </c>
      <c r="O106" s="72" t="s">
        <v>80</v>
      </c>
      <c r="P106" s="72" t="s">
        <v>81</v>
      </c>
      <c r="Q106" s="72" t="s">
        <v>82</v>
      </c>
      <c r="R106" s="72" t="s">
        <v>83</v>
      </c>
    </row>
    <row r="107" spans="1:29" ht="13.5" thickBot="1" x14ac:dyDescent="0.25">
      <c r="A107" s="248" t="s">
        <v>150</v>
      </c>
      <c r="B107" s="249"/>
      <c r="C107" s="250"/>
      <c r="D107" s="224"/>
      <c r="E107" s="251" t="s">
        <v>151</v>
      </c>
      <c r="F107" s="252">
        <f>IFERROR(H109/H111,"N/A")</f>
        <v>0.10582486608589013</v>
      </c>
      <c r="G107" s="318">
        <f>G39*0.15</f>
        <v>68585.8</v>
      </c>
      <c r="H107" s="318">
        <f>(H39*0.15)-0.4375</f>
        <v>36588.3125</v>
      </c>
      <c r="I107" s="241">
        <f>G107-H107</f>
        <v>31997.487500000003</v>
      </c>
      <c r="J107" s="123">
        <v>18294</v>
      </c>
      <c r="K107" s="115">
        <f t="shared" ref="K107" si="69">X107-J107</f>
        <v>18294</v>
      </c>
      <c r="L107" s="117">
        <f>SUM(J107:K107)</f>
        <v>36588</v>
      </c>
      <c r="M107" s="31">
        <f>IFERROR(L107/H107,"N/A")</f>
        <v>0.99999145902123798</v>
      </c>
      <c r="N107" s="116">
        <f t="shared" ref="N107" si="70">AC107</f>
        <v>63452</v>
      </c>
      <c r="O107" s="73"/>
      <c r="P107" s="73"/>
      <c r="Q107" s="73"/>
      <c r="R107" s="73"/>
      <c r="U107" s="324"/>
      <c r="V107" s="324">
        <f>13516</f>
        <v>13516</v>
      </c>
      <c r="W107" s="324">
        <f>13348</f>
        <v>13348</v>
      </c>
      <c r="X107" s="324">
        <f>'PROGRAM BUDGET &amp; FISCAL REPORT'!L109</f>
        <v>36588</v>
      </c>
      <c r="Y107" s="324"/>
      <c r="Z107" s="324"/>
      <c r="AA107" s="324"/>
      <c r="AC107" s="326">
        <f t="shared" ref="AC107" si="71">AA107+Z107+Y107+X107+W107+V107+U107+T107</f>
        <v>63452</v>
      </c>
    </row>
    <row r="108" spans="1:29" ht="13.5" thickBot="1" x14ac:dyDescent="0.25">
      <c r="A108" s="253"/>
      <c r="B108" s="249"/>
      <c r="C108" s="254"/>
      <c r="D108" s="224"/>
      <c r="E108" s="251" t="s">
        <v>151</v>
      </c>
      <c r="F108" s="252" t="str">
        <f>IFERROR(H110/H112,"N/A")</f>
        <v>N/A</v>
      </c>
      <c r="G108" s="318">
        <v>0</v>
      </c>
      <c r="H108" s="318">
        <v>0</v>
      </c>
      <c r="I108" s="241">
        <f t="shared" ref="I108" si="72">G108-H108</f>
        <v>0</v>
      </c>
      <c r="J108" s="123">
        <v>0</v>
      </c>
      <c r="K108" s="123">
        <v>0</v>
      </c>
      <c r="L108" s="241">
        <f>SUM(J108:K108)</f>
        <v>0</v>
      </c>
      <c r="M108" s="255" t="str">
        <f>IFERROR(L108/H108,"N/A")</f>
        <v>N/A</v>
      </c>
      <c r="N108" s="124">
        <v>0</v>
      </c>
      <c r="O108" s="73"/>
      <c r="P108" s="73"/>
      <c r="Q108" s="73"/>
      <c r="R108" s="73"/>
    </row>
    <row r="109" spans="1:29" ht="13.5" thickBot="1" x14ac:dyDescent="0.25">
      <c r="A109" s="229"/>
      <c r="B109" s="42"/>
      <c r="C109" s="230" t="s">
        <v>152</v>
      </c>
      <c r="D109" s="231"/>
      <c r="E109" s="231"/>
      <c r="F109" s="256"/>
      <c r="G109" s="257">
        <f>SUM(G107:G108)</f>
        <v>68585.8</v>
      </c>
      <c r="H109" s="257">
        <f>SUM(H107:H108)</f>
        <v>36588.3125</v>
      </c>
      <c r="I109" s="257">
        <f>SUM(I107:I108)</f>
        <v>31997.487500000003</v>
      </c>
      <c r="J109" s="257">
        <f t="shared" ref="J109:L109" si="73">SUM(J107:J108)</f>
        <v>18294</v>
      </c>
      <c r="K109" s="257">
        <f t="shared" si="73"/>
        <v>18294</v>
      </c>
      <c r="L109" s="257">
        <f t="shared" si="73"/>
        <v>36588</v>
      </c>
      <c r="M109" s="258">
        <f>IFERROR(L109/H109,"N/A")</f>
        <v>0.99999145902123798</v>
      </c>
      <c r="N109" s="259">
        <f>SUM(N107:N108)</f>
        <v>63452</v>
      </c>
      <c r="O109" s="96"/>
      <c r="P109" s="206"/>
      <c r="Q109" s="96"/>
      <c r="R109" s="206"/>
      <c r="T109" s="257">
        <f t="shared" ref="T109" si="74">SUM(T107:T108)</f>
        <v>0</v>
      </c>
      <c r="U109" s="257">
        <f t="shared" ref="U109:AA109" si="75">SUM(U107:U108)</f>
        <v>0</v>
      </c>
      <c r="V109" s="257">
        <f t="shared" si="75"/>
        <v>13516</v>
      </c>
      <c r="W109" s="257">
        <f t="shared" si="75"/>
        <v>13348</v>
      </c>
      <c r="X109" s="257">
        <f t="shared" ref="X109" si="76">SUM(X107:X108)</f>
        <v>36588</v>
      </c>
      <c r="Y109" s="257">
        <f t="shared" si="75"/>
        <v>0</v>
      </c>
      <c r="Z109" s="257">
        <f t="shared" si="75"/>
        <v>0</v>
      </c>
      <c r="AA109" s="257">
        <f t="shared" si="75"/>
        <v>0</v>
      </c>
      <c r="AC109" s="257">
        <f t="shared" ref="AC109" si="77">SUM(AC107:AC108)</f>
        <v>63452</v>
      </c>
    </row>
    <row r="110" spans="1:29" ht="13.5" thickBot="1" x14ac:dyDescent="0.25">
      <c r="A110" s="30"/>
      <c r="B110" s="30"/>
      <c r="C110" s="30"/>
      <c r="D110" s="30"/>
      <c r="E110" s="30"/>
      <c r="F110" s="30"/>
    </row>
    <row r="111" spans="1:29" ht="15.75" thickBot="1" x14ac:dyDescent="0.3">
      <c r="A111" s="6"/>
      <c r="B111" s="4"/>
      <c r="C111" s="5" t="s">
        <v>153</v>
      </c>
      <c r="D111" s="4"/>
      <c r="E111" s="4"/>
      <c r="F111" s="3"/>
      <c r="G111" s="125">
        <f t="shared" ref="G111:L111" si="78">SUM(G109,G100,G92,G84,G61,G51,G39)</f>
        <v>681056.13943333342</v>
      </c>
      <c r="H111" s="125">
        <f t="shared" si="78"/>
        <v>345744</v>
      </c>
      <c r="I111" s="125">
        <f t="shared" si="78"/>
        <v>335312.13943333336</v>
      </c>
      <c r="J111" s="125">
        <f t="shared" si="78"/>
        <v>163795</v>
      </c>
      <c r="K111" s="125">
        <f t="shared" si="78"/>
        <v>181949</v>
      </c>
      <c r="L111" s="125">
        <f t="shared" si="78"/>
        <v>345744</v>
      </c>
      <c r="M111" s="2">
        <f>IFERROR(L111/H111,"N/A")</f>
        <v>1</v>
      </c>
      <c r="N111" s="126">
        <f>SUM(N109,N100,N92,N84,N61,N51,N39)</f>
        <v>771462</v>
      </c>
      <c r="T111" s="125">
        <f t="shared" ref="T111" si="79">SUM(T109,T100,T92,T84,T61,T51,T39)</f>
        <v>3440</v>
      </c>
      <c r="U111" s="125">
        <f t="shared" ref="U111:AA111" si="80">SUM(U109,U100,U92,U84,U61,U51,U39)</f>
        <v>90925</v>
      </c>
      <c r="V111" s="125">
        <f t="shared" si="80"/>
        <v>162899</v>
      </c>
      <c r="W111" s="125">
        <f>SUM(W109,W100,W92,W84,W61,W51,W39)</f>
        <v>161808</v>
      </c>
      <c r="X111" s="125">
        <f>SUM(X109,X100,X92,X84,X61,X51,X39)</f>
        <v>345744</v>
      </c>
      <c r="Y111" s="125">
        <f t="shared" si="80"/>
        <v>0</v>
      </c>
      <c r="Z111" s="125">
        <f t="shared" si="80"/>
        <v>3451</v>
      </c>
      <c r="AA111" s="125">
        <f t="shared" si="80"/>
        <v>3195</v>
      </c>
      <c r="AC111" s="125">
        <f t="shared" ref="AC111" si="81">SUM(AC109,AC100,AC92,AC84,AC61,AC51,AC39)</f>
        <v>771462</v>
      </c>
    </row>
    <row r="112" spans="1:29" ht="15" customHeight="1" thickBot="1" x14ac:dyDescent="0.25">
      <c r="A112" s="30"/>
      <c r="B112" s="30"/>
      <c r="C112" s="30"/>
      <c r="D112" s="30"/>
      <c r="E112" s="30"/>
      <c r="F112" s="30"/>
      <c r="AC112" s="328">
        <f>AC111-X111</f>
        <v>425718</v>
      </c>
    </row>
    <row r="113" spans="1:18" s="322" customFormat="1" ht="15" x14ac:dyDescent="0.25">
      <c r="A113" s="139" t="s">
        <v>24</v>
      </c>
      <c r="B113" s="11"/>
      <c r="C113" s="11"/>
      <c r="D113" s="11"/>
      <c r="E113" s="11"/>
      <c r="F113" s="11"/>
      <c r="G113" s="11"/>
      <c r="H113" s="11"/>
      <c r="I113" s="11"/>
      <c r="J113" s="11"/>
      <c r="K113" s="11"/>
      <c r="L113" s="11"/>
      <c r="M113" s="11"/>
      <c r="N113" s="140"/>
      <c r="O113" s="141"/>
      <c r="P113" s="141"/>
      <c r="Q113" s="141"/>
      <c r="R113" s="141"/>
    </row>
    <row r="114" spans="1:18" s="322" customFormat="1" ht="14.25" x14ac:dyDescent="0.2">
      <c r="A114" s="143" t="s">
        <v>154</v>
      </c>
      <c r="B114" s="144"/>
      <c r="C114" s="144"/>
      <c r="D114" s="144"/>
      <c r="E114" s="144"/>
      <c r="F114" s="144"/>
      <c r="G114" s="144"/>
      <c r="H114" s="144"/>
      <c r="I114" s="144"/>
      <c r="J114" s="144"/>
      <c r="K114" s="144"/>
      <c r="L114" s="144"/>
      <c r="M114" s="144"/>
      <c r="N114" s="145"/>
      <c r="O114" s="141"/>
      <c r="P114" s="141"/>
      <c r="Q114" s="141"/>
      <c r="R114" s="141"/>
    </row>
    <row r="115" spans="1:18" s="322" customFormat="1" ht="15" x14ac:dyDescent="0.25">
      <c r="A115" s="143" t="s">
        <v>155</v>
      </c>
      <c r="B115" s="144"/>
      <c r="C115" s="144"/>
      <c r="D115" s="144"/>
      <c r="E115" s="144"/>
      <c r="F115" s="144"/>
      <c r="G115" s="144"/>
      <c r="H115" s="144"/>
      <c r="I115" s="144"/>
      <c r="J115" s="144"/>
      <c r="K115" s="144"/>
      <c r="L115" s="144"/>
      <c r="M115" s="144"/>
      <c r="N115" s="145"/>
      <c r="O115" s="141"/>
      <c r="P115" s="141"/>
      <c r="Q115" s="141"/>
      <c r="R115" s="141"/>
    </row>
    <row r="116" spans="1:18" s="322" customFormat="1" ht="15" x14ac:dyDescent="0.25">
      <c r="A116" s="143" t="s">
        <v>156</v>
      </c>
      <c r="B116" s="144"/>
      <c r="C116" s="144"/>
      <c r="D116" s="144"/>
      <c r="E116" s="144"/>
      <c r="F116" s="144"/>
      <c r="G116" s="144"/>
      <c r="H116" s="144"/>
      <c r="I116" s="144"/>
      <c r="J116" s="144"/>
      <c r="K116" s="144"/>
      <c r="L116" s="144"/>
      <c r="M116" s="144"/>
      <c r="N116" s="145"/>
      <c r="O116" s="141"/>
      <c r="P116" s="141"/>
      <c r="Q116" s="141"/>
      <c r="R116" s="141"/>
    </row>
    <row r="117" spans="1:18" s="322" customFormat="1" ht="45" customHeight="1" x14ac:dyDescent="0.2">
      <c r="A117" s="146" t="s">
        <v>157</v>
      </c>
      <c r="B117" s="147"/>
      <c r="C117" s="147" t="s">
        <v>107</v>
      </c>
      <c r="I117" s="148" t="s">
        <v>158</v>
      </c>
      <c r="J117" s="148" t="s">
        <v>159</v>
      </c>
      <c r="K117" s="148" t="s">
        <v>160</v>
      </c>
      <c r="L117" s="148" t="s">
        <v>161</v>
      </c>
      <c r="M117" s="106" t="s">
        <v>162</v>
      </c>
      <c r="N117" s="149" t="s">
        <v>163</v>
      </c>
      <c r="O117" s="141"/>
      <c r="P117" s="141"/>
      <c r="Q117" s="141"/>
      <c r="R117" s="141"/>
    </row>
    <row r="118" spans="1:18" s="322" customFormat="1" ht="15" customHeight="1" x14ac:dyDescent="0.2">
      <c r="A118" s="150" t="s">
        <v>164</v>
      </c>
      <c r="B118" s="151"/>
      <c r="C118" s="151"/>
      <c r="I118" s="152"/>
      <c r="J118" s="152"/>
      <c r="K118" s="152"/>
      <c r="L118" s="152"/>
      <c r="M118" s="25"/>
      <c r="N118" s="98"/>
      <c r="O118" s="141"/>
      <c r="P118" s="141"/>
      <c r="Q118" s="141"/>
      <c r="R118" s="141"/>
    </row>
    <row r="119" spans="1:18" s="322" customFormat="1" ht="15" customHeight="1" x14ac:dyDescent="0.2">
      <c r="A119" s="260" t="s">
        <v>165</v>
      </c>
      <c r="B119" s="261" t="s">
        <v>166</v>
      </c>
      <c r="C119" s="261" t="s">
        <v>61</v>
      </c>
      <c r="I119" s="204">
        <v>168000</v>
      </c>
      <c r="J119" s="121">
        <f>V111</f>
        <v>162899</v>
      </c>
      <c r="K119" s="121">
        <v>0</v>
      </c>
      <c r="L119" s="262">
        <f t="shared" ref="L119:L120" si="82">SUM(J119:K119)</f>
        <v>162899</v>
      </c>
      <c r="M119" s="25"/>
      <c r="N119" s="98"/>
      <c r="O119" s="141"/>
      <c r="P119" s="141"/>
      <c r="Q119" s="141"/>
      <c r="R119" s="141"/>
    </row>
    <row r="120" spans="1:18" s="322" customFormat="1" ht="15" customHeight="1" x14ac:dyDescent="0.2">
      <c r="A120" s="260" t="s">
        <v>165</v>
      </c>
      <c r="B120" s="261" t="s">
        <v>167</v>
      </c>
      <c r="C120" s="261" t="s">
        <v>61</v>
      </c>
      <c r="I120" s="204">
        <f>336584-168000-1272</f>
        <v>167312</v>
      </c>
      <c r="J120" s="121">
        <f>W111</f>
        <v>161808</v>
      </c>
      <c r="K120" s="121">
        <v>0</v>
      </c>
      <c r="L120" s="262">
        <f t="shared" si="82"/>
        <v>161808</v>
      </c>
      <c r="M120" s="25"/>
      <c r="N120" s="98"/>
      <c r="O120" s="141"/>
      <c r="P120" s="141"/>
      <c r="Q120" s="141"/>
      <c r="R120" s="141"/>
    </row>
    <row r="121" spans="1:18" s="322" customFormat="1" x14ac:dyDescent="0.2">
      <c r="A121" s="153" t="s">
        <v>168</v>
      </c>
      <c r="B121" s="151"/>
      <c r="I121" s="152"/>
      <c r="J121" s="152"/>
      <c r="K121" s="152"/>
      <c r="L121" s="152"/>
      <c r="M121" s="25"/>
      <c r="N121" s="98"/>
      <c r="O121" s="141"/>
      <c r="P121" s="141"/>
      <c r="Q121" s="141"/>
      <c r="R121" s="141"/>
    </row>
    <row r="122" spans="1:18" s="322" customFormat="1" ht="15" customHeight="1" x14ac:dyDescent="0.2">
      <c r="A122" s="260" t="s">
        <v>169</v>
      </c>
      <c r="B122" s="261"/>
      <c r="I122" s="204">
        <v>0</v>
      </c>
      <c r="J122" s="121">
        <f>Y111</f>
        <v>0</v>
      </c>
      <c r="K122" s="121">
        <v>0</v>
      </c>
      <c r="L122" s="262">
        <f t="shared" ref="L122:L132" si="83">SUM(J122:K122)</f>
        <v>0</v>
      </c>
      <c r="M122" s="25"/>
      <c r="N122" s="98"/>
      <c r="O122" s="141"/>
      <c r="P122" s="141"/>
      <c r="Q122" s="141"/>
      <c r="R122" s="141"/>
    </row>
    <row r="123" spans="1:18" s="322" customFormat="1" ht="15" customHeight="1" x14ac:dyDescent="0.2">
      <c r="A123" s="260" t="s">
        <v>170</v>
      </c>
      <c r="B123" s="261"/>
      <c r="I123" s="204">
        <v>0</v>
      </c>
      <c r="J123" s="121">
        <f>Z111+AA111</f>
        <v>6646</v>
      </c>
      <c r="K123" s="121">
        <v>0</v>
      </c>
      <c r="L123" s="262">
        <f t="shared" si="83"/>
        <v>6646</v>
      </c>
      <c r="M123" s="25"/>
      <c r="N123" s="98"/>
      <c r="O123" s="141"/>
      <c r="P123" s="141"/>
      <c r="Q123" s="141"/>
      <c r="R123" s="141"/>
    </row>
    <row r="124" spans="1:18" s="322" customFormat="1" x14ac:dyDescent="0.2">
      <c r="A124" s="153" t="s">
        <v>171</v>
      </c>
      <c r="B124" s="151"/>
      <c r="I124" s="152"/>
      <c r="J124" s="152"/>
      <c r="K124" s="152"/>
      <c r="L124" s="152"/>
      <c r="M124" s="25"/>
      <c r="N124" s="98"/>
      <c r="O124" s="141"/>
      <c r="P124" s="141"/>
      <c r="Q124" s="141"/>
      <c r="R124" s="141"/>
    </row>
    <row r="125" spans="1:18" s="322" customFormat="1" ht="15" customHeight="1" x14ac:dyDescent="0.2">
      <c r="A125" s="260"/>
      <c r="B125" s="261"/>
      <c r="I125" s="204">
        <v>0</v>
      </c>
      <c r="J125" s="121">
        <v>0</v>
      </c>
      <c r="K125" s="121">
        <v>0</v>
      </c>
      <c r="L125" s="262">
        <f t="shared" ref="L125:L126" si="84">SUM(J125:K125)</f>
        <v>0</v>
      </c>
      <c r="M125" s="25"/>
      <c r="N125" s="98"/>
      <c r="O125" s="141"/>
      <c r="P125" s="141"/>
      <c r="Q125" s="141"/>
      <c r="R125" s="141"/>
    </row>
    <row r="126" spans="1:18" s="322" customFormat="1" ht="15" customHeight="1" x14ac:dyDescent="0.2">
      <c r="A126" s="260"/>
      <c r="B126" s="261"/>
      <c r="I126" s="204">
        <v>0</v>
      </c>
      <c r="J126" s="121">
        <v>0</v>
      </c>
      <c r="K126" s="121">
        <v>0</v>
      </c>
      <c r="L126" s="262">
        <f t="shared" si="84"/>
        <v>0</v>
      </c>
      <c r="M126" s="25"/>
      <c r="N126" s="98"/>
      <c r="O126" s="141"/>
      <c r="P126" s="141"/>
      <c r="Q126" s="141"/>
      <c r="R126" s="141"/>
    </row>
    <row r="127" spans="1:18" s="322" customFormat="1" x14ac:dyDescent="0.2">
      <c r="A127" s="153" t="s">
        <v>172</v>
      </c>
      <c r="B127" s="151"/>
      <c r="I127" s="152"/>
      <c r="J127" s="152"/>
      <c r="K127" s="152"/>
      <c r="L127" s="152"/>
      <c r="M127" s="60"/>
      <c r="N127" s="99"/>
      <c r="O127" s="141"/>
      <c r="P127" s="141"/>
      <c r="Q127" s="141"/>
      <c r="R127" s="141"/>
    </row>
    <row r="128" spans="1:18" s="322" customFormat="1" ht="15" customHeight="1" x14ac:dyDescent="0.2">
      <c r="A128" s="260"/>
      <c r="B128" s="261"/>
      <c r="I128" s="204">
        <v>0</v>
      </c>
      <c r="J128" s="121">
        <v>0</v>
      </c>
      <c r="K128" s="121">
        <v>0</v>
      </c>
      <c r="L128" s="262">
        <f t="shared" ref="L128:L129" si="85">SUM(J128:K128)</f>
        <v>0</v>
      </c>
      <c r="M128" s="25"/>
      <c r="N128" s="98"/>
      <c r="O128" s="141"/>
      <c r="P128" s="141"/>
      <c r="Q128" s="141"/>
      <c r="R128" s="141"/>
    </row>
    <row r="129" spans="1:18" s="322" customFormat="1" ht="15" customHeight="1" x14ac:dyDescent="0.2">
      <c r="A129" s="260"/>
      <c r="B129" s="261"/>
      <c r="I129" s="204">
        <v>0</v>
      </c>
      <c r="J129" s="121">
        <v>0</v>
      </c>
      <c r="K129" s="121">
        <v>0</v>
      </c>
      <c r="L129" s="262">
        <f t="shared" si="85"/>
        <v>0</v>
      </c>
      <c r="M129" s="25"/>
      <c r="N129" s="98"/>
      <c r="O129" s="141"/>
      <c r="P129" s="141"/>
      <c r="Q129" s="141"/>
      <c r="R129" s="141"/>
    </row>
    <row r="130" spans="1:18" s="322" customFormat="1" x14ac:dyDescent="0.2">
      <c r="A130" s="153" t="s">
        <v>173</v>
      </c>
      <c r="B130" s="151"/>
      <c r="I130" s="152"/>
      <c r="J130" s="152"/>
      <c r="K130" s="152"/>
      <c r="L130" s="152"/>
      <c r="M130" s="60"/>
      <c r="N130" s="99"/>
      <c r="O130" s="141"/>
      <c r="P130" s="141"/>
      <c r="Q130" s="141"/>
      <c r="R130" s="141"/>
    </row>
    <row r="131" spans="1:18" s="322" customFormat="1" ht="15" customHeight="1" x14ac:dyDescent="0.2">
      <c r="A131" s="260" t="s">
        <v>174</v>
      </c>
      <c r="B131" s="261"/>
      <c r="I131" s="204">
        <v>0</v>
      </c>
      <c r="J131" s="121">
        <f>U111</f>
        <v>90925</v>
      </c>
      <c r="K131" s="121">
        <v>0</v>
      </c>
      <c r="L131" s="262">
        <f t="shared" si="83"/>
        <v>90925</v>
      </c>
      <c r="M131" s="25"/>
      <c r="N131" s="98"/>
      <c r="O131" s="141"/>
      <c r="P131" s="141"/>
      <c r="Q131" s="141"/>
      <c r="R131" s="141"/>
    </row>
    <row r="132" spans="1:18" s="322" customFormat="1" ht="15" customHeight="1" x14ac:dyDescent="0.2">
      <c r="A132" s="260"/>
      <c r="B132" s="261"/>
      <c r="I132" s="204">
        <v>0</v>
      </c>
      <c r="J132" s="121">
        <f>T111</f>
        <v>3440</v>
      </c>
      <c r="K132" s="121">
        <v>0</v>
      </c>
      <c r="L132" s="262">
        <f t="shared" si="83"/>
        <v>3440</v>
      </c>
      <c r="M132" s="25"/>
      <c r="N132" s="98"/>
      <c r="O132" s="141"/>
      <c r="P132" s="141"/>
      <c r="Q132" s="141"/>
      <c r="R132" s="141"/>
    </row>
    <row r="133" spans="1:18" s="322" customFormat="1" x14ac:dyDescent="0.2">
      <c r="A133" s="150" t="s">
        <v>175</v>
      </c>
      <c r="B133" s="151"/>
      <c r="I133" s="152"/>
      <c r="J133" s="152"/>
      <c r="K133" s="152"/>
      <c r="L133" s="152"/>
      <c r="M133" s="60"/>
      <c r="N133" s="99"/>
      <c r="O133" s="141"/>
      <c r="P133" s="141"/>
      <c r="Q133" s="141"/>
      <c r="R133" s="141"/>
    </row>
    <row r="134" spans="1:18" s="322" customFormat="1" ht="15" customHeight="1" x14ac:dyDescent="0.2">
      <c r="A134" s="260"/>
      <c r="B134" s="261"/>
      <c r="I134" s="204">
        <v>0</v>
      </c>
      <c r="J134" s="121">
        <v>0</v>
      </c>
      <c r="K134" s="121">
        <v>0</v>
      </c>
      <c r="L134" s="262">
        <f t="shared" ref="L134:L135" si="86">SUM(J134:K134)</f>
        <v>0</v>
      </c>
      <c r="M134" s="25"/>
      <c r="N134" s="98"/>
      <c r="O134" s="141"/>
      <c r="P134" s="141"/>
      <c r="Q134" s="141"/>
      <c r="R134" s="141"/>
    </row>
    <row r="135" spans="1:18" s="322" customFormat="1" ht="15" customHeight="1" x14ac:dyDescent="0.2">
      <c r="A135" s="260"/>
      <c r="B135" s="261"/>
      <c r="I135" s="204">
        <v>0</v>
      </c>
      <c r="J135" s="121">
        <v>0</v>
      </c>
      <c r="K135" s="121">
        <v>0</v>
      </c>
      <c r="L135" s="262">
        <f t="shared" si="86"/>
        <v>0</v>
      </c>
      <c r="M135" s="25"/>
      <c r="N135" s="98"/>
      <c r="O135" s="141"/>
      <c r="P135" s="141"/>
      <c r="Q135" s="141"/>
      <c r="R135" s="141"/>
    </row>
    <row r="136" spans="1:18" s="322" customFormat="1" ht="15.75" thickBot="1" x14ac:dyDescent="0.3">
      <c r="A136" s="154" t="s">
        <v>176</v>
      </c>
      <c r="B136" s="137"/>
      <c r="C136" s="137"/>
      <c r="D136" s="263" t="s">
        <v>177</v>
      </c>
      <c r="E136" s="264"/>
      <c r="F136" s="264"/>
      <c r="G136" s="264"/>
      <c r="H136" s="264"/>
      <c r="I136" s="265">
        <f>SUM(I118:I135)</f>
        <v>335312</v>
      </c>
      <c r="J136" s="265">
        <f t="shared" ref="J136:L136" si="87">SUM(J118:J135)</f>
        <v>425718</v>
      </c>
      <c r="K136" s="265">
        <f t="shared" si="87"/>
        <v>0</v>
      </c>
      <c r="L136" s="265">
        <f t="shared" si="87"/>
        <v>425718</v>
      </c>
      <c r="M136" s="266">
        <f>N17-L17</f>
        <v>0</v>
      </c>
      <c r="N136" s="267">
        <f>IFERROR(L136-M136,"N/A")</f>
        <v>425718</v>
      </c>
      <c r="O136" s="141"/>
      <c r="P136" s="141"/>
      <c r="Q136" s="141"/>
      <c r="R136" s="141"/>
    </row>
    <row r="137" spans="1:18" s="322" customFormat="1" ht="13.5" thickBot="1" x14ac:dyDescent="0.25">
      <c r="A137" s="155"/>
      <c r="F137" s="70"/>
      <c r="M137" s="21"/>
      <c r="N137" s="20"/>
      <c r="O137" s="141"/>
      <c r="P137" s="141"/>
      <c r="Q137" s="141"/>
      <c r="R137" s="141"/>
    </row>
    <row r="138" spans="1:18" s="322" customFormat="1" x14ac:dyDescent="0.2">
      <c r="A138" s="156" t="s">
        <v>178</v>
      </c>
      <c r="B138" s="157"/>
      <c r="C138" s="157"/>
      <c r="D138" s="157"/>
      <c r="E138" s="157"/>
      <c r="F138" s="158"/>
      <c r="G138" s="158"/>
      <c r="H138" s="158"/>
      <c r="I138" s="158"/>
      <c r="J138" s="158"/>
      <c r="K138" s="158"/>
      <c r="L138" s="158"/>
      <c r="M138" s="29"/>
      <c r="N138" s="28"/>
      <c r="O138" s="141"/>
      <c r="P138" s="141"/>
      <c r="Q138" s="141"/>
      <c r="R138" s="141"/>
    </row>
    <row r="139" spans="1:18" s="322" customFormat="1" ht="13.5" thickBot="1" x14ac:dyDescent="0.25">
      <c r="A139" s="159" t="s">
        <v>179</v>
      </c>
      <c r="B139" s="160"/>
      <c r="C139" s="160"/>
      <c r="D139" s="160"/>
      <c r="E139" s="160"/>
      <c r="F139" s="161"/>
      <c r="G139" s="161"/>
      <c r="H139" s="161"/>
      <c r="I139" s="161"/>
      <c r="J139" s="161"/>
      <c r="K139" s="161"/>
      <c r="L139" s="161"/>
      <c r="M139" s="24"/>
      <c r="N139" s="23"/>
      <c r="O139" s="141"/>
      <c r="P139" s="141"/>
      <c r="Q139" s="141"/>
      <c r="R139" s="141"/>
    </row>
  </sheetData>
  <conditionalFormatting sqref="P61 P84 P92 P100 P109 P51 P36:P38 O27:R33">
    <cfRule type="containsText" dxfId="69" priority="47" operator="containsText" text="VARIANCE">
      <formula>NOT(ISERROR(SEARCH("VARIANCE",O27)))</formula>
    </cfRule>
  </conditionalFormatting>
  <conditionalFormatting sqref="O51 O61 O84 O92 O100 O109 O36:O38">
    <cfRule type="containsText" dxfId="68" priority="46" operator="containsText" text="VARIANCE">
      <formula>NOT(ISERROR(SEARCH("VARIANCE",O36)))</formula>
    </cfRule>
  </conditionalFormatting>
  <conditionalFormatting sqref="O36:O38">
    <cfRule type="containsText" dxfId="67" priority="45" operator="containsText" text="VARIANCE">
      <formula>NOT(ISERROR(SEARCH("VARIANCE",O36)))</formula>
    </cfRule>
  </conditionalFormatting>
  <conditionalFormatting sqref="R61 R84 R92 R100 R109 R51 R36:R38">
    <cfRule type="containsText" dxfId="66" priority="44" operator="containsText" text="VARIANCE">
      <formula>NOT(ISERROR(SEARCH("VARIANCE",R36)))</formula>
    </cfRule>
  </conditionalFormatting>
  <conditionalFormatting sqref="Q51">
    <cfRule type="containsText" dxfId="65" priority="35" operator="containsText" text="VARIANCE">
      <formula>NOT(ISERROR(SEARCH("VARIANCE",Q51)))</formula>
    </cfRule>
  </conditionalFormatting>
  <conditionalFormatting sqref="Q61">
    <cfRule type="containsText" dxfId="64" priority="34" operator="containsText" text="VARIANCE">
      <formula>NOT(ISERROR(SEARCH("VARIANCE",Q61)))</formula>
    </cfRule>
  </conditionalFormatting>
  <conditionalFormatting sqref="O51">
    <cfRule type="containsText" dxfId="63" priority="43" operator="containsText" text="VARIANCE">
      <formula>NOT(ISERROR(SEARCH("VARIANCE",O51)))</formula>
    </cfRule>
  </conditionalFormatting>
  <conditionalFormatting sqref="O61">
    <cfRule type="containsText" dxfId="62" priority="42" operator="containsText" text="VARIANCE">
      <formula>NOT(ISERROR(SEARCH("VARIANCE",O61)))</formula>
    </cfRule>
  </conditionalFormatting>
  <conditionalFormatting sqref="O84">
    <cfRule type="containsText" dxfId="61" priority="41" operator="containsText" text="VARIANCE">
      <formula>NOT(ISERROR(SEARCH("VARIANCE",O84)))</formula>
    </cfRule>
  </conditionalFormatting>
  <conditionalFormatting sqref="O92">
    <cfRule type="containsText" dxfId="60" priority="40" operator="containsText" text="VARIANCE">
      <formula>NOT(ISERROR(SEARCH("VARIANCE",O92)))</formula>
    </cfRule>
  </conditionalFormatting>
  <conditionalFormatting sqref="O100">
    <cfRule type="containsText" dxfId="59" priority="39" operator="containsText" text="VARIANCE">
      <formula>NOT(ISERROR(SEARCH("VARIANCE",O100)))</formula>
    </cfRule>
  </conditionalFormatting>
  <conditionalFormatting sqref="O109">
    <cfRule type="containsText" dxfId="58" priority="38" operator="containsText" text="VARIANCE">
      <formula>NOT(ISERROR(SEARCH("VARIANCE",O109)))</formula>
    </cfRule>
  </conditionalFormatting>
  <conditionalFormatting sqref="Q51 Q61 Q84 Q92 Q100 Q109 Q36:Q38">
    <cfRule type="containsText" dxfId="57" priority="37" operator="containsText" text="VARIANCE">
      <formula>NOT(ISERROR(SEARCH("VARIANCE",Q36)))</formula>
    </cfRule>
  </conditionalFormatting>
  <conditionalFormatting sqref="Q36:Q38">
    <cfRule type="containsText" dxfId="56" priority="36" operator="containsText" text="VARIANCE">
      <formula>NOT(ISERROR(SEARCH("VARIANCE",Q36)))</formula>
    </cfRule>
  </conditionalFormatting>
  <conditionalFormatting sqref="Q84">
    <cfRule type="containsText" dxfId="55" priority="33" operator="containsText" text="VARIANCE">
      <formula>NOT(ISERROR(SEARCH("VARIANCE",Q84)))</formula>
    </cfRule>
  </conditionalFormatting>
  <conditionalFormatting sqref="Q92">
    <cfRule type="containsText" dxfId="54" priority="32" operator="containsText" text="VARIANCE">
      <formula>NOT(ISERROR(SEARCH("VARIANCE",Q92)))</formula>
    </cfRule>
  </conditionalFormatting>
  <conditionalFormatting sqref="Q100">
    <cfRule type="containsText" dxfId="53" priority="31" operator="containsText" text="VARIANCE">
      <formula>NOT(ISERROR(SEARCH("VARIANCE",Q100)))</formula>
    </cfRule>
  </conditionalFormatting>
  <conditionalFormatting sqref="Q109">
    <cfRule type="containsText" dxfId="52" priority="30" operator="containsText" text="VARIANCE">
      <formula>NOT(ISERROR(SEARCH("VARIANCE",Q109)))</formula>
    </cfRule>
  </conditionalFormatting>
  <conditionalFormatting sqref="B127 B130 B133">
    <cfRule type="containsText" dxfId="51" priority="29" operator="containsText" text="VARIANCE">
      <formula>NOT(ISERROR(SEARCH("VARIANCE",B127)))</formula>
    </cfRule>
  </conditionalFormatting>
  <conditionalFormatting sqref="B118 B121 B124">
    <cfRule type="containsText" dxfId="50" priority="28" operator="containsText" text="VARIANCE">
      <formula>NOT(ISERROR(SEARCH("VARIANCE",B118)))</formula>
    </cfRule>
  </conditionalFormatting>
  <conditionalFormatting sqref="B119">
    <cfRule type="containsText" dxfId="49" priority="27" operator="containsText" text="VARIANCE">
      <formula>NOT(ISERROR(SEARCH("VARIANCE",B119)))</formula>
    </cfRule>
  </conditionalFormatting>
  <conditionalFormatting sqref="B120">
    <cfRule type="containsText" dxfId="48" priority="26" operator="containsText" text="VARIANCE">
      <formula>NOT(ISERROR(SEARCH("VARIANCE",B120)))</formula>
    </cfRule>
  </conditionalFormatting>
  <conditionalFormatting sqref="B122">
    <cfRule type="containsText" dxfId="47" priority="25" operator="containsText" text="VARIANCE">
      <formula>NOT(ISERROR(SEARCH("VARIANCE",B122)))</formula>
    </cfRule>
  </conditionalFormatting>
  <conditionalFormatting sqref="B123">
    <cfRule type="containsText" dxfId="46" priority="24" operator="containsText" text="VARIANCE">
      <formula>NOT(ISERROR(SEARCH("VARIANCE",B123)))</formula>
    </cfRule>
  </conditionalFormatting>
  <conditionalFormatting sqref="B125">
    <cfRule type="containsText" dxfId="45" priority="23" operator="containsText" text="VARIANCE">
      <formula>NOT(ISERROR(SEARCH("VARIANCE",B125)))</formula>
    </cfRule>
  </conditionalFormatting>
  <conditionalFormatting sqref="B126">
    <cfRule type="containsText" dxfId="44" priority="22" operator="containsText" text="VARIANCE">
      <formula>NOT(ISERROR(SEARCH("VARIANCE",B126)))</formula>
    </cfRule>
  </conditionalFormatting>
  <conditionalFormatting sqref="B128">
    <cfRule type="containsText" dxfId="43" priority="21" operator="containsText" text="VARIANCE">
      <formula>NOT(ISERROR(SEARCH("VARIANCE",B128)))</formula>
    </cfRule>
  </conditionalFormatting>
  <conditionalFormatting sqref="B129">
    <cfRule type="containsText" dxfId="42" priority="20" operator="containsText" text="VARIANCE">
      <formula>NOT(ISERROR(SEARCH("VARIANCE",B129)))</formula>
    </cfRule>
  </conditionalFormatting>
  <conditionalFormatting sqref="B131">
    <cfRule type="containsText" dxfId="41" priority="19" operator="containsText" text="VARIANCE">
      <formula>NOT(ISERROR(SEARCH("VARIANCE",B131)))</formula>
    </cfRule>
  </conditionalFormatting>
  <conditionalFormatting sqref="B132">
    <cfRule type="containsText" dxfId="40" priority="18" operator="containsText" text="VARIANCE">
      <formula>NOT(ISERROR(SEARCH("VARIANCE",B132)))</formula>
    </cfRule>
  </conditionalFormatting>
  <conditionalFormatting sqref="B134">
    <cfRule type="containsText" dxfId="39" priority="17" operator="containsText" text="VARIANCE">
      <formula>NOT(ISERROR(SEARCH("VARIANCE",B134)))</formula>
    </cfRule>
  </conditionalFormatting>
  <conditionalFormatting sqref="B135">
    <cfRule type="containsText" dxfId="38" priority="16" operator="containsText" text="VARIANCE">
      <formula>NOT(ISERROR(SEARCH("VARIANCE",B135)))</formula>
    </cfRule>
  </conditionalFormatting>
  <conditionalFormatting sqref="I118:L118">
    <cfRule type="containsText" dxfId="37" priority="15" operator="containsText" text="VARIANCE">
      <formula>NOT(ISERROR(SEARCH("VARIANCE",I118)))</formula>
    </cfRule>
  </conditionalFormatting>
  <conditionalFormatting sqref="I121:L121">
    <cfRule type="containsText" dxfId="36" priority="14" operator="containsText" text="VARIANCE">
      <formula>NOT(ISERROR(SEARCH("VARIANCE",I121)))</formula>
    </cfRule>
  </conditionalFormatting>
  <conditionalFormatting sqref="I124:L124">
    <cfRule type="containsText" dxfId="35" priority="13" operator="containsText" text="VARIANCE">
      <formula>NOT(ISERROR(SEARCH("VARIANCE",I124)))</formula>
    </cfRule>
  </conditionalFormatting>
  <conditionalFormatting sqref="I127:L127">
    <cfRule type="containsText" dxfId="34" priority="12" operator="containsText" text="VARIANCE">
      <formula>NOT(ISERROR(SEARCH("VARIANCE",I127)))</formula>
    </cfRule>
  </conditionalFormatting>
  <conditionalFormatting sqref="I130:L130">
    <cfRule type="containsText" dxfId="33" priority="11" operator="containsText" text="VARIANCE">
      <formula>NOT(ISERROR(SEARCH("VARIANCE",I130)))</formula>
    </cfRule>
  </conditionalFormatting>
  <conditionalFormatting sqref="I133:L133">
    <cfRule type="containsText" dxfId="32" priority="10" operator="containsText" text="VARIANCE">
      <formula>NOT(ISERROR(SEARCH("VARIANCE",I133)))</formula>
    </cfRule>
  </conditionalFormatting>
  <conditionalFormatting sqref="P34:P35">
    <cfRule type="containsText" dxfId="31" priority="9" operator="containsText" text="VARIANCE">
      <formula>NOT(ISERROR(SEARCH("VARIANCE",P34)))</formula>
    </cfRule>
  </conditionalFormatting>
  <conditionalFormatting sqref="O34:O35">
    <cfRule type="containsText" dxfId="30" priority="8" operator="containsText" text="VARIANCE">
      <formula>NOT(ISERROR(SEARCH("VARIANCE",O34)))</formula>
    </cfRule>
  </conditionalFormatting>
  <conditionalFormatting sqref="O34:O35">
    <cfRule type="containsText" dxfId="29" priority="7" operator="containsText" text="VARIANCE">
      <formula>NOT(ISERROR(SEARCH("VARIANCE",O34)))</formula>
    </cfRule>
  </conditionalFormatting>
  <conditionalFormatting sqref="R34:R35">
    <cfRule type="containsText" dxfId="28" priority="6" operator="containsText" text="VARIANCE">
      <formula>NOT(ISERROR(SEARCH("VARIANCE",R34)))</formula>
    </cfRule>
  </conditionalFormatting>
  <conditionalFormatting sqref="Q34:Q35">
    <cfRule type="containsText" dxfId="27" priority="5" operator="containsText" text="VARIANCE">
      <formula>NOT(ISERROR(SEARCH("VARIANCE",Q34)))</formula>
    </cfRule>
  </conditionalFormatting>
  <conditionalFormatting sqref="Q34:Q35">
    <cfRule type="containsText" dxfId="26" priority="4" operator="containsText" text="VARIANCE">
      <formula>NOT(ISERROR(SEARCH("VARIANCE",Q34)))</formula>
    </cfRule>
  </conditionalFormatting>
  <conditionalFormatting sqref="C118">
    <cfRule type="containsText" dxfId="25" priority="3" operator="containsText" text="VARIANCE">
      <formula>NOT(ISERROR(SEARCH("VARIANCE",C118)))</formula>
    </cfRule>
  </conditionalFormatting>
  <conditionalFormatting sqref="C119">
    <cfRule type="containsText" dxfId="24" priority="2" operator="containsText" text="VARIANCE">
      <formula>NOT(ISERROR(SEARCH("VARIANCE",C119)))</formula>
    </cfRule>
  </conditionalFormatting>
  <conditionalFormatting sqref="C120">
    <cfRule type="containsText" dxfId="23" priority="1" operator="containsText" text="VARIANCE">
      <formula>NOT(ISERROR(SEARCH("VARIANCE",C120)))</formula>
    </cfRule>
  </conditionalFormatting>
  <dataValidations count="6">
    <dataValidation type="list" allowBlank="1" showInputMessage="1" showErrorMessage="1" sqref="C27:C38" xr:uid="{00000000-0002-0000-0100-000000000000}">
      <formula1>$C$19:$C$21</formula1>
    </dataValidation>
    <dataValidation type="decimal" errorStyle="warning" allowBlank="1" showInputMessage="1" showErrorMessage="1" errorTitle="VARIANCE REPORT REQUIRED" error="Percentages below 90% or above 110% require an explanation in the VARIANCE REPORT/NOTES column." sqref="M27:M38" xr:uid="{00000000-0002-0000-0100-000001000000}">
      <formula1>0.9</formula1>
      <formula2>1.1</formula2>
    </dataValidation>
    <dataValidation type="list" allowBlank="1" showInputMessage="1" showErrorMessage="1" sqref="C119:C120" xr:uid="{00000000-0002-0000-0100-000002000000}">
      <formula1>$F$19:$F$21</formula1>
    </dataValidation>
    <dataValidation type="list" allowBlank="1" showInputMessage="1" showErrorMessage="1" sqref="B10" xr:uid="{00000000-0002-0000-0100-000003000000}">
      <formula1>$A$19:$A$21</formula1>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100-000004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07:F108" xr:uid="{00000000-0002-0000-0100-000005000000}">
      <formula1>0</formula1>
      <formula2>0.15</formula2>
    </dataValidation>
  </dataValidations>
  <pageMargins left="0.7" right="0.7" top="0.75" bottom="0.75" header="0.3" footer="0.3"/>
  <pageSetup scale="32"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N141"/>
  <sheetViews>
    <sheetView showGridLines="0" zoomScale="80" zoomScaleNormal="80" workbookViewId="0">
      <selection activeCell="N1" sqref="N1"/>
    </sheetView>
  </sheetViews>
  <sheetFormatPr defaultColWidth="8.85546875" defaultRowHeight="12.75" outlineLevelRow="1" x14ac:dyDescent="0.2"/>
  <cols>
    <col min="1" max="1" width="33.140625" style="22" customWidth="1"/>
    <col min="2" max="2" width="32.5703125" style="22" customWidth="1"/>
    <col min="3" max="3" width="30.42578125" style="22" customWidth="1"/>
    <col min="4" max="4" width="11.140625" style="22" customWidth="1"/>
    <col min="5" max="5" width="10.85546875" style="22" customWidth="1"/>
    <col min="6" max="6" width="10" style="22" customWidth="1"/>
    <col min="7" max="9" width="14.85546875" style="22" customWidth="1"/>
    <col min="10" max="12" width="14.42578125" style="22" customWidth="1"/>
    <col min="13" max="13" width="13.85546875" style="21" bestFit="1" customWidth="1"/>
    <col min="14" max="14" width="16.7109375" style="20" customWidth="1"/>
    <col min="15" max="16384" width="8.85546875" style="30"/>
  </cols>
  <sheetData>
    <row r="1" spans="1:14" ht="18" x14ac:dyDescent="0.25">
      <c r="A1" s="56" t="s">
        <v>34</v>
      </c>
      <c r="B1" s="37"/>
      <c r="C1" s="36"/>
      <c r="D1" s="36"/>
      <c r="E1" s="36"/>
      <c r="F1" s="36"/>
      <c r="G1" s="36"/>
      <c r="H1" s="36"/>
      <c r="I1" s="36"/>
      <c r="J1" s="36"/>
      <c r="K1" s="36"/>
      <c r="L1" s="36"/>
      <c r="M1" s="35"/>
      <c r="N1" s="34"/>
    </row>
    <row r="2" spans="1:14" ht="18" x14ac:dyDescent="0.2">
      <c r="A2" s="345" t="s">
        <v>35</v>
      </c>
      <c r="B2" s="37"/>
      <c r="C2" s="36"/>
      <c r="D2" s="36"/>
      <c r="E2" s="36"/>
      <c r="F2" s="36"/>
      <c r="G2" s="36"/>
      <c r="H2" s="36"/>
      <c r="I2" s="36"/>
      <c r="J2" s="36"/>
      <c r="K2" s="36"/>
      <c r="L2" s="36"/>
      <c r="M2" s="35"/>
      <c r="N2" s="34"/>
    </row>
    <row r="3" spans="1:14" ht="13.5" thickBot="1" x14ac:dyDescent="0.25">
      <c r="A3" s="37"/>
      <c r="B3" s="37"/>
      <c r="C3" s="36"/>
      <c r="D3" s="36"/>
      <c r="E3" s="36"/>
      <c r="F3" s="36"/>
      <c r="G3" s="36"/>
      <c r="H3" s="36"/>
      <c r="I3" s="36"/>
      <c r="J3" s="36"/>
      <c r="K3" s="36"/>
      <c r="L3" s="36"/>
      <c r="M3" s="35"/>
      <c r="N3" s="34"/>
    </row>
    <row r="4" spans="1:14" ht="13.5" thickBot="1" x14ac:dyDescent="0.25">
      <c r="A4" s="19" t="s">
        <v>36</v>
      </c>
      <c r="B4" s="18"/>
      <c r="C4" s="18"/>
      <c r="D4" s="18"/>
      <c r="E4" s="18"/>
      <c r="F4" s="18"/>
      <c r="G4" s="18"/>
      <c r="H4" s="18"/>
      <c r="I4" s="18"/>
      <c r="J4" s="18"/>
      <c r="K4" s="18"/>
      <c r="L4" s="18"/>
      <c r="M4" s="93"/>
      <c r="N4" s="17"/>
    </row>
    <row r="5" spans="1:14" ht="33.75" x14ac:dyDescent="0.2">
      <c r="A5" s="92"/>
      <c r="B5" s="59"/>
      <c r="C5" s="59"/>
      <c r="D5" s="59"/>
      <c r="E5" s="59"/>
      <c r="F5" s="59"/>
      <c r="G5" s="101" t="s">
        <v>37</v>
      </c>
      <c r="H5" s="101" t="s">
        <v>38</v>
      </c>
      <c r="I5" s="101" t="s">
        <v>39</v>
      </c>
      <c r="J5" s="101" t="s">
        <v>40</v>
      </c>
      <c r="K5" s="101" t="s">
        <v>41</v>
      </c>
      <c r="L5" s="101" t="s">
        <v>42</v>
      </c>
      <c r="M5" s="102" t="s">
        <v>43</v>
      </c>
      <c r="N5" s="103" t="s">
        <v>44</v>
      </c>
    </row>
    <row r="6" spans="1:14" x14ac:dyDescent="0.2">
      <c r="A6" s="130" t="s">
        <v>45</v>
      </c>
      <c r="B6" s="162" t="s">
        <v>46</v>
      </c>
      <c r="C6" s="162"/>
      <c r="D6" s="128" t="str">
        <f>A24</f>
        <v>1A.  Staff Salaries</v>
      </c>
      <c r="E6" s="30"/>
      <c r="F6" s="30"/>
      <c r="G6" s="117">
        <f t="shared" ref="G6:I6" si="0">G41</f>
        <v>458827.66666666669</v>
      </c>
      <c r="H6" s="117">
        <f t="shared" si="0"/>
        <v>222811</v>
      </c>
      <c r="I6" s="117">
        <f t="shared" si="0"/>
        <v>236016.66666666669</v>
      </c>
      <c r="J6" s="117">
        <f t="shared" ref="J6:K6" si="1">J41</f>
        <v>115263</v>
      </c>
      <c r="K6" s="117">
        <f t="shared" si="1"/>
        <v>107548</v>
      </c>
      <c r="L6" s="117">
        <f>L41</f>
        <v>222811</v>
      </c>
      <c r="M6" s="31">
        <f t="shared" ref="M6:M13" si="2">IFERROR(L6/H6,"N/A")</f>
        <v>1</v>
      </c>
      <c r="N6" s="119">
        <f>N41</f>
        <v>400482</v>
      </c>
    </row>
    <row r="7" spans="1:14" x14ac:dyDescent="0.2">
      <c r="A7" s="130" t="s">
        <v>47</v>
      </c>
      <c r="B7" s="163" t="s">
        <v>48</v>
      </c>
      <c r="C7" s="163"/>
      <c r="D7" s="128" t="str">
        <f>A43</f>
        <v>1B.  Staff Fringe Benefits</v>
      </c>
      <c r="E7" s="30"/>
      <c r="F7" s="30"/>
      <c r="G7" s="117">
        <f t="shared" ref="G7:I7" si="3">G53</f>
        <v>62870.316666666673</v>
      </c>
      <c r="H7" s="117">
        <f t="shared" si="3"/>
        <v>30789</v>
      </c>
      <c r="I7" s="117">
        <f t="shared" si="3"/>
        <v>32081.316666666666</v>
      </c>
      <c r="J7" s="117">
        <f>J53</f>
        <v>15741</v>
      </c>
      <c r="K7" s="117">
        <f>K53</f>
        <v>15048</v>
      </c>
      <c r="L7" s="117">
        <f>L53</f>
        <v>30789</v>
      </c>
      <c r="M7" s="31">
        <f t="shared" si="2"/>
        <v>1</v>
      </c>
      <c r="N7" s="119">
        <f>N53</f>
        <v>57194</v>
      </c>
    </row>
    <row r="8" spans="1:14" x14ac:dyDescent="0.2">
      <c r="A8" s="89"/>
      <c r="B8" s="30"/>
      <c r="C8" s="30"/>
      <c r="D8" s="128" t="str">
        <f>A55</f>
        <v>2.  Consultant Services</v>
      </c>
      <c r="E8" s="30"/>
      <c r="F8" s="30"/>
      <c r="G8" s="117">
        <f t="shared" ref="G8:I8" si="4">G63</f>
        <v>10924.591999999999</v>
      </c>
      <c r="H8" s="117">
        <f t="shared" si="4"/>
        <v>7346</v>
      </c>
      <c r="I8" s="117">
        <f t="shared" si="4"/>
        <v>3578.5919999999987</v>
      </c>
      <c r="J8" s="117">
        <f>J63</f>
        <v>3042</v>
      </c>
      <c r="K8" s="117">
        <f>K63</f>
        <v>4304</v>
      </c>
      <c r="L8" s="117">
        <f>L63</f>
        <v>7346</v>
      </c>
      <c r="M8" s="31">
        <f t="shared" si="2"/>
        <v>1</v>
      </c>
      <c r="N8" s="119">
        <f>N63</f>
        <v>107425</v>
      </c>
    </row>
    <row r="9" spans="1:14" x14ac:dyDescent="0.2">
      <c r="A9" s="89"/>
      <c r="B9" s="30"/>
      <c r="C9" s="30"/>
      <c r="D9" s="128" t="str">
        <f>A65</f>
        <v>3.  Operating Expenses</v>
      </c>
      <c r="E9" s="30"/>
      <c r="F9" s="30"/>
      <c r="G9" s="117">
        <f t="shared" ref="G9:L9" si="5">G86</f>
        <v>124398.24400000001</v>
      </c>
      <c r="H9" s="117">
        <f t="shared" si="5"/>
        <v>48210</v>
      </c>
      <c r="I9" s="117">
        <f t="shared" si="5"/>
        <v>76188.244000000006</v>
      </c>
      <c r="J9" s="117">
        <f t="shared" si="5"/>
        <v>11455</v>
      </c>
      <c r="K9" s="117">
        <f t="shared" si="5"/>
        <v>36755</v>
      </c>
      <c r="L9" s="117">
        <f t="shared" si="5"/>
        <v>48210</v>
      </c>
      <c r="M9" s="31">
        <f t="shared" si="2"/>
        <v>1</v>
      </c>
      <c r="N9" s="119">
        <f>N86</f>
        <v>142909</v>
      </c>
    </row>
    <row r="10" spans="1:14" x14ac:dyDescent="0.2">
      <c r="A10" s="27" t="s">
        <v>49</v>
      </c>
      <c r="B10" s="338" t="s">
        <v>59</v>
      </c>
      <c r="C10" s="30"/>
      <c r="D10" s="128" t="str">
        <f>A88</f>
        <v>4.  Direct Client Support</v>
      </c>
      <c r="E10" s="30"/>
      <c r="F10" s="30"/>
      <c r="G10" s="117">
        <f>G94</f>
        <v>0</v>
      </c>
      <c r="H10" s="117">
        <f t="shared" ref="H10:N10" si="6">H94</f>
        <v>0</v>
      </c>
      <c r="I10" s="117">
        <f t="shared" si="6"/>
        <v>0</v>
      </c>
      <c r="J10" s="117">
        <f t="shared" si="6"/>
        <v>0</v>
      </c>
      <c r="K10" s="117">
        <f t="shared" si="6"/>
        <v>0</v>
      </c>
      <c r="L10" s="117">
        <f t="shared" si="6"/>
        <v>0</v>
      </c>
      <c r="M10" s="31" t="str">
        <f t="shared" si="2"/>
        <v>N/A</v>
      </c>
      <c r="N10" s="119">
        <f t="shared" si="6"/>
        <v>0</v>
      </c>
    </row>
    <row r="11" spans="1:14" x14ac:dyDescent="0.2">
      <c r="A11" s="89"/>
      <c r="B11" s="30"/>
      <c r="C11" s="30"/>
      <c r="D11" s="128" t="str">
        <f>A96</f>
        <v>5.  Other</v>
      </c>
      <c r="E11" s="30"/>
      <c r="F11" s="30"/>
      <c r="G11" s="117">
        <f>G102</f>
        <v>0</v>
      </c>
      <c r="H11" s="117">
        <f t="shared" ref="H11:N11" si="7">H102</f>
        <v>0</v>
      </c>
      <c r="I11" s="117">
        <f t="shared" si="7"/>
        <v>0</v>
      </c>
      <c r="J11" s="117">
        <f t="shared" si="7"/>
        <v>0</v>
      </c>
      <c r="K11" s="117">
        <f t="shared" si="7"/>
        <v>0</v>
      </c>
      <c r="L11" s="117">
        <f t="shared" si="7"/>
        <v>0</v>
      </c>
      <c r="M11" s="31" t="str">
        <f t="shared" si="2"/>
        <v>N/A</v>
      </c>
      <c r="N11" s="119">
        <f t="shared" si="7"/>
        <v>0</v>
      </c>
    </row>
    <row r="12" spans="1:14" x14ac:dyDescent="0.2">
      <c r="A12" s="89"/>
      <c r="B12" s="30"/>
      <c r="C12" s="30"/>
      <c r="D12" s="128" t="str">
        <f>A104</f>
        <v>6.  Indirect Administrative Costs</v>
      </c>
      <c r="E12" s="30"/>
      <c r="F12" s="30"/>
      <c r="G12" s="117">
        <f>G111</f>
        <v>68317.3</v>
      </c>
      <c r="H12" s="117">
        <f t="shared" ref="H12:L12" si="8">H111</f>
        <v>36588</v>
      </c>
      <c r="I12" s="117">
        <f t="shared" si="8"/>
        <v>31729.300000000003</v>
      </c>
      <c r="J12" s="117">
        <f t="shared" si="8"/>
        <v>18294</v>
      </c>
      <c r="K12" s="117">
        <f t="shared" si="8"/>
        <v>18294</v>
      </c>
      <c r="L12" s="117">
        <f t="shared" si="8"/>
        <v>36588</v>
      </c>
      <c r="M12" s="31">
        <f t="shared" si="2"/>
        <v>1</v>
      </c>
      <c r="N12" s="119">
        <f>N111</f>
        <v>63452</v>
      </c>
    </row>
    <row r="13" spans="1:14" x14ac:dyDescent="0.2">
      <c r="A13" s="89" t="s">
        <v>51</v>
      </c>
      <c r="B13" s="339">
        <v>345744</v>
      </c>
      <c r="C13" s="30"/>
      <c r="D13" s="129" t="str">
        <f>C113</f>
        <v>7.   TOTAL BUDGET</v>
      </c>
      <c r="E13" s="26"/>
      <c r="F13" s="26"/>
      <c r="G13" s="118">
        <f>G113</f>
        <v>725338.11933333334</v>
      </c>
      <c r="H13" s="118">
        <f t="shared" ref="H13:L13" si="9">H113</f>
        <v>345744</v>
      </c>
      <c r="I13" s="118">
        <f t="shared" si="9"/>
        <v>379594.11933333334</v>
      </c>
      <c r="J13" s="118">
        <f t="shared" si="9"/>
        <v>163795</v>
      </c>
      <c r="K13" s="118">
        <f t="shared" si="9"/>
        <v>181949</v>
      </c>
      <c r="L13" s="118">
        <f t="shared" si="9"/>
        <v>345744</v>
      </c>
      <c r="M13" s="33">
        <f t="shared" si="2"/>
        <v>1</v>
      </c>
      <c r="N13" s="120">
        <f>N113</f>
        <v>771462</v>
      </c>
    </row>
    <row r="14" spans="1:14" x14ac:dyDescent="0.2">
      <c r="A14" s="89" t="s">
        <v>52</v>
      </c>
      <c r="B14" s="131">
        <f>L13</f>
        <v>345744</v>
      </c>
      <c r="C14" s="30"/>
      <c r="D14" s="30"/>
      <c r="E14" s="30"/>
      <c r="F14" s="30"/>
      <c r="G14" s="30"/>
      <c r="H14" s="30"/>
      <c r="I14" s="30"/>
      <c r="J14" s="30"/>
      <c r="K14" s="30"/>
      <c r="L14" s="30"/>
      <c r="M14" s="30"/>
      <c r="N14" s="104"/>
    </row>
    <row r="15" spans="1:14" x14ac:dyDescent="0.2">
      <c r="A15" s="89" t="s">
        <v>53</v>
      </c>
      <c r="B15" s="131">
        <f>B13-B14</f>
        <v>0</v>
      </c>
      <c r="C15" s="30"/>
      <c r="D15" s="30"/>
      <c r="E15" s="30"/>
      <c r="F15" s="30"/>
      <c r="G15" s="30"/>
      <c r="H15" s="30"/>
      <c r="I15" s="30"/>
      <c r="J15" s="30"/>
      <c r="K15" s="30"/>
      <c r="L15" s="30"/>
      <c r="M15" s="30"/>
      <c r="N15" s="104"/>
    </row>
    <row r="16" spans="1:14" x14ac:dyDescent="0.2">
      <c r="A16" s="89"/>
      <c r="B16" s="30"/>
      <c r="C16" s="30"/>
      <c r="D16" s="30"/>
      <c r="E16" s="30"/>
      <c r="F16" s="30"/>
      <c r="G16" s="30"/>
      <c r="H16" s="30"/>
      <c r="I16" s="30"/>
      <c r="J16" s="30"/>
      <c r="K16" s="30"/>
      <c r="L16" s="30"/>
      <c r="M16" s="30"/>
      <c r="N16" s="104"/>
    </row>
    <row r="17" spans="1:14" ht="13.5" thickBot="1" x14ac:dyDescent="0.25">
      <c r="A17" s="90"/>
      <c r="B17" s="91"/>
      <c r="C17" s="42"/>
      <c r="D17" s="91"/>
      <c r="E17" s="91"/>
      <c r="F17" s="91"/>
      <c r="G17" s="42"/>
      <c r="H17" s="42"/>
      <c r="I17" s="42"/>
      <c r="J17" s="42"/>
      <c r="K17" s="42"/>
      <c r="L17" s="42"/>
      <c r="M17" s="42"/>
      <c r="N17" s="105"/>
    </row>
    <row r="18" spans="1:14" ht="13.5" thickBot="1" x14ac:dyDescent="0.25">
      <c r="A18" s="26"/>
      <c r="B18" s="30"/>
      <c r="C18" s="30"/>
      <c r="D18" s="26"/>
      <c r="E18" s="26"/>
      <c r="F18" s="26"/>
      <c r="G18" s="69"/>
      <c r="H18" s="69"/>
      <c r="I18" s="69"/>
      <c r="J18" s="69"/>
      <c r="K18" s="69"/>
      <c r="L18" s="69"/>
      <c r="M18" s="60"/>
      <c r="N18" s="69"/>
    </row>
    <row r="19" spans="1:14" ht="13.5" hidden="1" thickBot="1" x14ac:dyDescent="0.25">
      <c r="A19" s="132" t="s">
        <v>50</v>
      </c>
      <c r="B19" s="133"/>
      <c r="C19" s="59" t="s">
        <v>54</v>
      </c>
      <c r="D19" s="109"/>
      <c r="E19" s="109"/>
      <c r="F19" s="59" t="s">
        <v>55</v>
      </c>
      <c r="G19" s="110"/>
      <c r="H19" s="110"/>
      <c r="I19" s="110"/>
      <c r="J19" s="110"/>
      <c r="K19" s="110"/>
      <c r="L19" s="110"/>
      <c r="M19" s="111"/>
      <c r="N19" s="112"/>
    </row>
    <row r="20" spans="1:14" ht="13.5" hidden="1" thickBot="1" x14ac:dyDescent="0.25">
      <c r="A20" s="134" t="s">
        <v>56</v>
      </c>
      <c r="B20" s="135"/>
      <c r="C20" s="22" t="s">
        <v>57</v>
      </c>
      <c r="D20" s="26"/>
      <c r="E20" s="26"/>
      <c r="F20" s="30" t="s">
        <v>58</v>
      </c>
      <c r="G20" s="69"/>
      <c r="H20" s="69"/>
      <c r="I20" s="69"/>
      <c r="J20" s="69"/>
      <c r="K20" s="69"/>
      <c r="L20" s="69"/>
      <c r="M20" s="60"/>
      <c r="N20" s="113"/>
    </row>
    <row r="21" spans="1:14" ht="13.5" hidden="1" thickBot="1" x14ac:dyDescent="0.25">
      <c r="A21" s="136" t="s">
        <v>59</v>
      </c>
      <c r="B21" s="137"/>
      <c r="C21" s="30" t="s">
        <v>60</v>
      </c>
      <c r="D21" s="42"/>
      <c r="E21" s="42"/>
      <c r="F21" s="42" t="s">
        <v>61</v>
      </c>
      <c r="G21" s="42"/>
      <c r="H21" s="42"/>
      <c r="I21" s="42"/>
      <c r="J21" s="42"/>
      <c r="K21" s="42"/>
      <c r="L21" s="42"/>
      <c r="M21" s="24"/>
      <c r="N21" s="114"/>
    </row>
    <row r="22" spans="1:14" ht="13.5" thickBot="1" x14ac:dyDescent="0.25">
      <c r="A22" s="19" t="s">
        <v>62</v>
      </c>
      <c r="B22" s="18"/>
      <c r="C22" s="18"/>
      <c r="D22" s="18"/>
      <c r="E22" s="18"/>
      <c r="F22" s="18"/>
      <c r="G22" s="18"/>
      <c r="H22" s="18"/>
      <c r="I22" s="18"/>
      <c r="J22" s="18"/>
      <c r="K22" s="18"/>
      <c r="L22" s="18"/>
      <c r="M22" s="93"/>
      <c r="N22" s="17"/>
    </row>
    <row r="23" spans="1:14" ht="13.5" thickBot="1" x14ac:dyDescent="0.25">
      <c r="A23" s="30"/>
      <c r="B23" s="30"/>
      <c r="C23" s="30"/>
      <c r="D23" s="30"/>
      <c r="E23" s="30"/>
      <c r="F23" s="30"/>
    </row>
    <row r="24" spans="1:14" x14ac:dyDescent="0.2">
      <c r="A24" s="81" t="s">
        <v>63</v>
      </c>
      <c r="B24" s="82"/>
      <c r="C24" s="82"/>
      <c r="D24" s="82"/>
      <c r="E24" s="82"/>
      <c r="F24" s="83"/>
      <c r="G24" s="84"/>
      <c r="H24" s="84"/>
      <c r="I24" s="84"/>
      <c r="J24" s="84"/>
      <c r="K24" s="84"/>
      <c r="L24" s="84"/>
      <c r="M24" s="85"/>
      <c r="N24" s="86"/>
    </row>
    <row r="25" spans="1:14" s="50" customFormat="1" ht="11.25" x14ac:dyDescent="0.2">
      <c r="A25" s="138" t="s">
        <v>64</v>
      </c>
      <c r="B25" s="55"/>
      <c r="C25" s="55"/>
      <c r="D25" s="55"/>
      <c r="E25" s="55"/>
      <c r="F25" s="48"/>
      <c r="G25" s="15"/>
      <c r="H25" s="15"/>
      <c r="I25" s="15"/>
      <c r="J25" s="15"/>
      <c r="K25" s="15"/>
      <c r="L25" s="15"/>
      <c r="M25" s="14"/>
      <c r="N25" s="87"/>
    </row>
    <row r="26" spans="1:14" s="50" customFormat="1" ht="33.75" x14ac:dyDescent="0.2">
      <c r="A26" s="107" t="s">
        <v>74</v>
      </c>
      <c r="B26" s="108" t="s">
        <v>75</v>
      </c>
      <c r="C26" s="32" t="s">
        <v>76</v>
      </c>
      <c r="D26" s="32" t="s">
        <v>77</v>
      </c>
      <c r="E26" s="32" t="s">
        <v>263</v>
      </c>
      <c r="F26" s="32" t="s">
        <v>79</v>
      </c>
      <c r="G26" s="32" t="s">
        <v>37</v>
      </c>
      <c r="H26" s="32" t="s">
        <v>38</v>
      </c>
      <c r="I26" s="32" t="s">
        <v>39</v>
      </c>
      <c r="J26" s="32" t="s">
        <v>40</v>
      </c>
      <c r="K26" s="32" t="s">
        <v>41</v>
      </c>
      <c r="L26" s="32" t="s">
        <v>42</v>
      </c>
      <c r="M26" s="40" t="s">
        <v>43</v>
      </c>
      <c r="N26" s="88" t="s">
        <v>44</v>
      </c>
    </row>
    <row r="27" spans="1:14" hidden="1" outlineLevel="1" x14ac:dyDescent="0.2">
      <c r="A27" s="198" t="s">
        <v>84</v>
      </c>
      <c r="B27" s="199" t="s">
        <v>85</v>
      </c>
      <c r="C27" s="200" t="s">
        <v>54</v>
      </c>
      <c r="D27" s="201">
        <v>1</v>
      </c>
      <c r="E27" s="202">
        <v>0.1</v>
      </c>
      <c r="F27" s="372">
        <f>D27*E27</f>
        <v>0.1</v>
      </c>
      <c r="G27" s="204">
        <f>180000*0.1</f>
        <v>18000</v>
      </c>
      <c r="H27" s="204">
        <v>17264</v>
      </c>
      <c r="I27" s="117">
        <f>G27-H27</f>
        <v>736</v>
      </c>
      <c r="J27" s="329">
        <v>7374</v>
      </c>
      <c r="K27" s="329">
        <v>9890</v>
      </c>
      <c r="L27" s="205">
        <f t="shared" ref="L27:L40" si="10">SUM(J27:K27)</f>
        <v>17264</v>
      </c>
      <c r="M27" s="31">
        <f t="shared" ref="M27:M41" si="11">IFERROR(L27/H27,"N/A")</f>
        <v>1</v>
      </c>
      <c r="N27" s="340">
        <v>21042</v>
      </c>
    </row>
    <row r="28" spans="1:14" hidden="1" outlineLevel="1" x14ac:dyDescent="0.2">
      <c r="A28" s="198" t="s">
        <v>87</v>
      </c>
      <c r="B28" s="199" t="s">
        <v>88</v>
      </c>
      <c r="C28" s="200" t="s">
        <v>54</v>
      </c>
      <c r="D28" s="201">
        <v>1</v>
      </c>
      <c r="E28" s="202">
        <v>0.25</v>
      </c>
      <c r="F28" s="372">
        <f>D28*E28</f>
        <v>0.25</v>
      </c>
      <c r="G28" s="204">
        <f>135000*0.25</f>
        <v>33750</v>
      </c>
      <c r="H28" s="204">
        <v>17576</v>
      </c>
      <c r="I28" s="207">
        <f t="shared" ref="I28:I40" si="12">G28-H28</f>
        <v>16174</v>
      </c>
      <c r="J28" s="329">
        <v>8677</v>
      </c>
      <c r="K28" s="329">
        <v>8899</v>
      </c>
      <c r="L28" s="205">
        <f t="shared" si="10"/>
        <v>17576</v>
      </c>
      <c r="M28" s="31">
        <f t="shared" si="11"/>
        <v>1</v>
      </c>
      <c r="N28" s="340">
        <v>33299</v>
      </c>
    </row>
    <row r="29" spans="1:14" collapsed="1" x14ac:dyDescent="0.2">
      <c r="A29" s="198"/>
      <c r="B29" s="199"/>
      <c r="C29" s="200" t="s">
        <v>54</v>
      </c>
      <c r="D29" s="201"/>
      <c r="E29" s="372">
        <f>SUM(F27:F28)</f>
        <v>0.35</v>
      </c>
      <c r="F29" s="203"/>
      <c r="G29" s="204">
        <f>SUM(G27:G28)</f>
        <v>51750</v>
      </c>
      <c r="H29" s="204">
        <f t="shared" ref="H29:L29" si="13">SUM(H27:H28)</f>
        <v>34840</v>
      </c>
      <c r="I29" s="207">
        <f t="shared" si="13"/>
        <v>16910</v>
      </c>
      <c r="J29" s="329">
        <f t="shared" si="13"/>
        <v>16051</v>
      </c>
      <c r="K29" s="329">
        <f t="shared" si="13"/>
        <v>18789</v>
      </c>
      <c r="L29" s="205">
        <f t="shared" si="13"/>
        <v>34840</v>
      </c>
      <c r="M29" s="31">
        <f t="shared" si="11"/>
        <v>1</v>
      </c>
      <c r="N29" s="340">
        <f>SUM(N27:N28)</f>
        <v>54341</v>
      </c>
    </row>
    <row r="30" spans="1:14" hidden="1" outlineLevel="1" x14ac:dyDescent="0.2">
      <c r="A30" s="198" t="s">
        <v>89</v>
      </c>
      <c r="B30" s="199" t="s">
        <v>262</v>
      </c>
      <c r="C30" s="200" t="s">
        <v>60</v>
      </c>
      <c r="D30" s="201">
        <v>1</v>
      </c>
      <c r="E30" s="202">
        <v>1</v>
      </c>
      <c r="F30" s="372">
        <f t="shared" ref="F30:F38" si="14">D30*E30</f>
        <v>1</v>
      </c>
      <c r="G30" s="204">
        <f>110000*(10/12)</f>
        <v>91666.666666666672</v>
      </c>
      <c r="H30" s="204">
        <v>7260</v>
      </c>
      <c r="I30" s="207">
        <f t="shared" si="12"/>
        <v>84406.666666666672</v>
      </c>
      <c r="J30" s="329">
        <v>19265</v>
      </c>
      <c r="K30" s="329">
        <v>-12005</v>
      </c>
      <c r="L30" s="205">
        <f t="shared" si="10"/>
        <v>7260</v>
      </c>
      <c r="M30" s="31">
        <f t="shared" si="11"/>
        <v>1</v>
      </c>
      <c r="N30" s="340">
        <v>79914</v>
      </c>
    </row>
    <row r="31" spans="1:14" hidden="1" outlineLevel="1" x14ac:dyDescent="0.2">
      <c r="A31" s="198" t="s">
        <v>91</v>
      </c>
      <c r="B31" s="199" t="s">
        <v>92</v>
      </c>
      <c r="C31" s="200" t="s">
        <v>60</v>
      </c>
      <c r="D31" s="201">
        <v>1</v>
      </c>
      <c r="E31" s="202">
        <v>1</v>
      </c>
      <c r="F31" s="372">
        <f t="shared" si="14"/>
        <v>1</v>
      </c>
      <c r="G31" s="204">
        <f>63000</f>
        <v>63000</v>
      </c>
      <c r="H31" s="204">
        <v>42021</v>
      </c>
      <c r="I31" s="207">
        <f t="shared" si="12"/>
        <v>20979</v>
      </c>
      <c r="J31" s="329">
        <v>17581</v>
      </c>
      <c r="K31" s="329">
        <v>24440</v>
      </c>
      <c r="L31" s="205">
        <f t="shared" si="10"/>
        <v>42021</v>
      </c>
      <c r="M31" s="31">
        <f t="shared" si="11"/>
        <v>1</v>
      </c>
      <c r="N31" s="340">
        <v>61427</v>
      </c>
    </row>
    <row r="32" spans="1:14" hidden="1" outlineLevel="1" x14ac:dyDescent="0.2">
      <c r="A32" s="198" t="s">
        <v>94</v>
      </c>
      <c r="B32" s="199" t="s">
        <v>92</v>
      </c>
      <c r="C32" s="200" t="s">
        <v>60</v>
      </c>
      <c r="D32" s="201">
        <v>1</v>
      </c>
      <c r="E32" s="202">
        <v>1</v>
      </c>
      <c r="F32" s="372">
        <f t="shared" si="14"/>
        <v>1</v>
      </c>
      <c r="G32" s="204">
        <f>63000</f>
        <v>63000</v>
      </c>
      <c r="H32" s="204">
        <v>42423</v>
      </c>
      <c r="I32" s="207">
        <f t="shared" si="12"/>
        <v>20577</v>
      </c>
      <c r="J32" s="329">
        <v>17467</v>
      </c>
      <c r="K32" s="329">
        <v>24956</v>
      </c>
      <c r="L32" s="205">
        <f t="shared" si="10"/>
        <v>42423</v>
      </c>
      <c r="M32" s="31">
        <f t="shared" si="11"/>
        <v>1</v>
      </c>
      <c r="N32" s="340">
        <v>61521</v>
      </c>
    </row>
    <row r="33" spans="1:14" hidden="1" outlineLevel="1" x14ac:dyDescent="0.2">
      <c r="A33" s="198" t="s">
        <v>95</v>
      </c>
      <c r="B33" s="199" t="s">
        <v>92</v>
      </c>
      <c r="C33" s="208" t="s">
        <v>60</v>
      </c>
      <c r="D33" s="201">
        <v>1</v>
      </c>
      <c r="E33" s="209">
        <v>1</v>
      </c>
      <c r="F33" s="372">
        <f t="shared" si="14"/>
        <v>1</v>
      </c>
      <c r="G33" s="204">
        <f>63000</f>
        <v>63000</v>
      </c>
      <c r="H33" s="204">
        <v>31412</v>
      </c>
      <c r="I33" s="207">
        <f t="shared" si="12"/>
        <v>31588</v>
      </c>
      <c r="J33" s="329">
        <v>15436</v>
      </c>
      <c r="K33" s="329">
        <v>15976</v>
      </c>
      <c r="L33" s="205">
        <f t="shared" si="10"/>
        <v>31412</v>
      </c>
      <c r="M33" s="31">
        <f t="shared" ref="M33:M40" si="15">IFERROR(L33/H33,"N/A")</f>
        <v>1</v>
      </c>
      <c r="N33" s="340">
        <v>45974</v>
      </c>
    </row>
    <row r="34" spans="1:14" hidden="1" outlineLevel="1" x14ac:dyDescent="0.2">
      <c r="A34" s="198" t="s">
        <v>96</v>
      </c>
      <c r="B34" s="199" t="s">
        <v>92</v>
      </c>
      <c r="C34" s="208" t="s">
        <v>60</v>
      </c>
      <c r="D34" s="201">
        <v>1</v>
      </c>
      <c r="E34" s="209">
        <v>1</v>
      </c>
      <c r="F34" s="372">
        <f t="shared" si="14"/>
        <v>1</v>
      </c>
      <c r="G34" s="204">
        <f>63000</f>
        <v>63000</v>
      </c>
      <c r="H34" s="204">
        <v>39652</v>
      </c>
      <c r="I34" s="207">
        <f t="shared" si="12"/>
        <v>23348</v>
      </c>
      <c r="J34" s="329">
        <v>16312</v>
      </c>
      <c r="K34" s="329">
        <v>23340</v>
      </c>
      <c r="L34" s="205">
        <f t="shared" si="10"/>
        <v>39652</v>
      </c>
      <c r="M34" s="31">
        <f t="shared" si="15"/>
        <v>1</v>
      </c>
      <c r="N34" s="340">
        <v>61576</v>
      </c>
    </row>
    <row r="35" spans="1:14" hidden="1" outlineLevel="1" x14ac:dyDescent="0.2">
      <c r="A35" s="198" t="s">
        <v>97</v>
      </c>
      <c r="B35" s="199" t="s">
        <v>92</v>
      </c>
      <c r="C35" s="208" t="s">
        <v>60</v>
      </c>
      <c r="D35" s="201">
        <v>1</v>
      </c>
      <c r="E35" s="209">
        <v>1</v>
      </c>
      <c r="F35" s="372">
        <f t="shared" si="14"/>
        <v>1</v>
      </c>
      <c r="G35" s="204">
        <v>10500</v>
      </c>
      <c r="H35" s="204">
        <v>4791</v>
      </c>
      <c r="I35" s="207">
        <f t="shared" ref="I35" si="16">G35-H35</f>
        <v>5709</v>
      </c>
      <c r="J35" s="329">
        <v>5619</v>
      </c>
      <c r="K35" s="329">
        <v>-828</v>
      </c>
      <c r="L35" s="205">
        <f t="shared" ref="L35" si="17">SUM(J35:K35)</f>
        <v>4791</v>
      </c>
      <c r="M35" s="31">
        <f t="shared" ref="M35" si="18">IFERROR(L35/H35,"N/A")</f>
        <v>1</v>
      </c>
      <c r="N35" s="340">
        <v>12996</v>
      </c>
    </row>
    <row r="36" spans="1:14" hidden="1" outlineLevel="1" x14ac:dyDescent="0.2">
      <c r="A36" s="198" t="s">
        <v>180</v>
      </c>
      <c r="B36" s="199" t="s">
        <v>92</v>
      </c>
      <c r="C36" s="208" t="s">
        <v>60</v>
      </c>
      <c r="D36" s="201">
        <v>1</v>
      </c>
      <c r="E36" s="209">
        <v>1</v>
      </c>
      <c r="F36" s="372">
        <f t="shared" si="14"/>
        <v>1</v>
      </c>
      <c r="G36" s="204">
        <v>42000</v>
      </c>
      <c r="H36" s="204">
        <v>9501</v>
      </c>
      <c r="I36" s="207">
        <f t="shared" ref="I36" si="19">G36-H36</f>
        <v>32499</v>
      </c>
      <c r="J36" s="329">
        <v>0</v>
      </c>
      <c r="K36" s="329">
        <v>9501</v>
      </c>
      <c r="L36" s="205">
        <f t="shared" ref="L36" si="20">SUM(J36:K36)</f>
        <v>9501</v>
      </c>
      <c r="M36" s="31">
        <f t="shared" ref="M36" si="21">IFERROR(L36/H36,"N/A")</f>
        <v>1</v>
      </c>
      <c r="N36" s="340">
        <v>11822</v>
      </c>
    </row>
    <row r="37" spans="1:14" hidden="1" outlineLevel="1" x14ac:dyDescent="0.2">
      <c r="A37" s="198" t="s">
        <v>100</v>
      </c>
      <c r="B37" s="199" t="s">
        <v>101</v>
      </c>
      <c r="C37" s="208" t="s">
        <v>60</v>
      </c>
      <c r="D37" s="201">
        <f>24/40</f>
        <v>0.6</v>
      </c>
      <c r="E37" s="209">
        <v>1</v>
      </c>
      <c r="F37" s="372">
        <f t="shared" si="14"/>
        <v>0.6</v>
      </c>
      <c r="G37" s="204">
        <v>7532</v>
      </c>
      <c r="H37" s="204">
        <v>7532</v>
      </c>
      <c r="I37" s="207">
        <f t="shared" si="12"/>
        <v>0</v>
      </c>
      <c r="J37" s="329">
        <v>7532</v>
      </c>
      <c r="K37" s="329">
        <v>0</v>
      </c>
      <c r="L37" s="205">
        <f t="shared" si="10"/>
        <v>7532</v>
      </c>
      <c r="M37" s="31">
        <f t="shared" si="15"/>
        <v>1</v>
      </c>
      <c r="N37" s="340">
        <v>7532</v>
      </c>
    </row>
    <row r="38" spans="1:14" hidden="1" outlineLevel="1" x14ac:dyDescent="0.2">
      <c r="A38" s="198" t="s">
        <v>181</v>
      </c>
      <c r="B38" s="199" t="s">
        <v>92</v>
      </c>
      <c r="C38" s="208" t="s">
        <v>60</v>
      </c>
      <c r="D38" s="201">
        <v>1</v>
      </c>
      <c r="E38" s="209">
        <v>1</v>
      </c>
      <c r="F38" s="372">
        <f t="shared" si="14"/>
        <v>1</v>
      </c>
      <c r="G38" s="204">
        <v>3379</v>
      </c>
      <c r="H38" s="204">
        <v>3379</v>
      </c>
      <c r="I38" s="207">
        <f t="shared" si="12"/>
        <v>0</v>
      </c>
      <c r="J38" s="329">
        <v>0</v>
      </c>
      <c r="K38" s="329">
        <v>3379</v>
      </c>
      <c r="L38" s="205">
        <f t="shared" si="10"/>
        <v>3379</v>
      </c>
      <c r="M38" s="31">
        <f t="shared" si="15"/>
        <v>1</v>
      </c>
      <c r="N38" s="340">
        <v>3379</v>
      </c>
    </row>
    <row r="39" spans="1:14" collapsed="1" x14ac:dyDescent="0.2">
      <c r="A39" s="198"/>
      <c r="B39" s="199"/>
      <c r="C39" s="208" t="s">
        <v>60</v>
      </c>
      <c r="D39" s="211"/>
      <c r="E39" s="372">
        <f>SUM(F30:F38)</f>
        <v>8.6</v>
      </c>
      <c r="F39" s="210"/>
      <c r="G39" s="204">
        <f>SUM(G30:G38)</f>
        <v>407077.66666666669</v>
      </c>
      <c r="H39" s="204">
        <f t="shared" ref="H39:L39" si="22">SUM(H30:H38)</f>
        <v>187971</v>
      </c>
      <c r="I39" s="207">
        <f t="shared" si="22"/>
        <v>219106.66666666669</v>
      </c>
      <c r="J39" s="329">
        <f t="shared" si="22"/>
        <v>99212</v>
      </c>
      <c r="K39" s="329">
        <f t="shared" si="22"/>
        <v>88759</v>
      </c>
      <c r="L39" s="205">
        <f t="shared" si="22"/>
        <v>187971</v>
      </c>
      <c r="M39" s="31">
        <f t="shared" si="15"/>
        <v>1</v>
      </c>
      <c r="N39" s="340">
        <f>SUM(N30:N38)</f>
        <v>346141</v>
      </c>
    </row>
    <row r="40" spans="1:14" x14ac:dyDescent="0.2">
      <c r="A40" s="198"/>
      <c r="B40" s="199"/>
      <c r="C40" s="208"/>
      <c r="D40" s="211"/>
      <c r="E40" s="209"/>
      <c r="F40" s="210"/>
      <c r="G40" s="204">
        <v>0</v>
      </c>
      <c r="H40" s="204">
        <v>0</v>
      </c>
      <c r="I40" s="207">
        <f t="shared" si="12"/>
        <v>0</v>
      </c>
      <c r="J40" s="329">
        <v>0</v>
      </c>
      <c r="K40" s="329">
        <v>0</v>
      </c>
      <c r="L40" s="205">
        <f t="shared" si="10"/>
        <v>0</v>
      </c>
      <c r="M40" s="31" t="str">
        <f t="shared" si="15"/>
        <v>N/A</v>
      </c>
      <c r="N40" s="340">
        <v>0</v>
      </c>
    </row>
    <row r="41" spans="1:14" ht="13.5" thickBot="1" x14ac:dyDescent="0.25">
      <c r="A41" s="212"/>
      <c r="B41" s="213"/>
      <c r="C41" s="214" t="s">
        <v>104</v>
      </c>
      <c r="D41" s="215"/>
      <c r="E41" s="373">
        <f>SUM(E39,E29)</f>
        <v>8.9499999999999993</v>
      </c>
      <c r="F41" s="216"/>
      <c r="G41" s="217">
        <f t="shared" ref="G41:L41" si="23">SUM(G39,G29)</f>
        <v>458827.66666666669</v>
      </c>
      <c r="H41" s="217">
        <f t="shared" si="23"/>
        <v>222811</v>
      </c>
      <c r="I41" s="217">
        <f t="shared" si="23"/>
        <v>236016.66666666669</v>
      </c>
      <c r="J41" s="217">
        <f t="shared" si="23"/>
        <v>115263</v>
      </c>
      <c r="K41" s="217">
        <f t="shared" si="23"/>
        <v>107548</v>
      </c>
      <c r="L41" s="217">
        <f t="shared" si="23"/>
        <v>222811</v>
      </c>
      <c r="M41" s="218">
        <f t="shared" si="11"/>
        <v>1</v>
      </c>
      <c r="N41" s="219">
        <f>SUM(N39,N29)</f>
        <v>400482</v>
      </c>
    </row>
    <row r="42" spans="1:14" ht="13.5" thickBot="1" x14ac:dyDescent="0.25">
      <c r="A42" s="30"/>
      <c r="B42" s="30"/>
      <c r="C42" s="30"/>
      <c r="D42" s="30"/>
      <c r="E42" s="30"/>
      <c r="F42" s="30"/>
    </row>
    <row r="43" spans="1:14" x14ac:dyDescent="0.2">
      <c r="A43" s="12" t="s">
        <v>105</v>
      </c>
      <c r="B43" s="11"/>
      <c r="C43" s="11"/>
      <c r="D43" s="11"/>
      <c r="E43" s="11"/>
      <c r="F43" s="10"/>
      <c r="G43" s="9"/>
      <c r="H43" s="9"/>
      <c r="I43" s="9"/>
      <c r="J43" s="9"/>
      <c r="K43" s="9"/>
      <c r="L43" s="9"/>
      <c r="M43" s="8"/>
      <c r="N43" s="7"/>
    </row>
    <row r="44" spans="1:14" s="50" customFormat="1" ht="11.25" x14ac:dyDescent="0.2">
      <c r="A44" s="46" t="s">
        <v>106</v>
      </c>
      <c r="B44" s="55"/>
      <c r="C44" s="55"/>
      <c r="D44" s="55"/>
      <c r="E44" s="55"/>
      <c r="F44" s="48"/>
      <c r="G44" s="15"/>
      <c r="H44" s="15"/>
      <c r="I44" s="15"/>
      <c r="J44" s="15"/>
      <c r="K44" s="15"/>
      <c r="L44" s="15"/>
      <c r="M44" s="14"/>
      <c r="N44" s="13"/>
    </row>
    <row r="45" spans="1:14" ht="33.75" x14ac:dyDescent="0.2">
      <c r="A45" s="43" t="s">
        <v>107</v>
      </c>
      <c r="B45" s="44"/>
      <c r="C45" s="45"/>
      <c r="D45" s="45"/>
      <c r="E45" s="45"/>
      <c r="F45" s="45"/>
      <c r="G45" s="32" t="s">
        <v>37</v>
      </c>
      <c r="H45" s="32" t="s">
        <v>38</v>
      </c>
      <c r="I45" s="32" t="s">
        <v>39</v>
      </c>
      <c r="J45" s="32" t="s">
        <v>40</v>
      </c>
      <c r="K45" s="32" t="s">
        <v>41</v>
      </c>
      <c r="L45" s="32" t="s">
        <v>42</v>
      </c>
      <c r="M45" s="40" t="s">
        <v>43</v>
      </c>
      <c r="N45" s="41" t="s">
        <v>44</v>
      </c>
    </row>
    <row r="46" spans="1:14" x14ac:dyDescent="0.2">
      <c r="A46" s="220" t="s">
        <v>108</v>
      </c>
      <c r="B46" s="221"/>
      <c r="C46" s="221"/>
      <c r="D46" s="222"/>
      <c r="E46" s="223">
        <v>7.6499999999999999E-2</v>
      </c>
      <c r="F46" s="224"/>
      <c r="G46" s="318">
        <v>34978.758000000002</v>
      </c>
      <c r="H46" s="318">
        <v>16439</v>
      </c>
      <c r="I46" s="117">
        <f t="shared" ref="I46" si="24">G46-H46</f>
        <v>18539.758000000002</v>
      </c>
      <c r="J46" s="329">
        <f>Worksheet!J44</f>
        <v>8406</v>
      </c>
      <c r="K46" s="329">
        <v>8033</v>
      </c>
      <c r="L46" s="117">
        <f>SUM(J46:K46)</f>
        <v>16439</v>
      </c>
      <c r="M46" s="31">
        <f>IFERROR(L46/H46,"N/A")</f>
        <v>1</v>
      </c>
      <c r="N46" s="340">
        <f>Worksheet!N44</f>
        <v>29545</v>
      </c>
    </row>
    <row r="47" spans="1:14" x14ac:dyDescent="0.2">
      <c r="A47" s="225" t="s">
        <v>109</v>
      </c>
      <c r="B47" s="221"/>
      <c r="C47" s="226"/>
      <c r="D47" s="222"/>
      <c r="E47" s="223">
        <v>0.01</v>
      </c>
      <c r="F47" s="224"/>
      <c r="G47" s="318">
        <v>4572.3866666666672</v>
      </c>
      <c r="H47" s="318">
        <v>978</v>
      </c>
      <c r="I47" s="207">
        <f t="shared" ref="I47:I52" si="25">G47-H47</f>
        <v>3594.3866666666672</v>
      </c>
      <c r="J47" s="329">
        <f>Worksheet!J45</f>
        <v>317</v>
      </c>
      <c r="K47" s="331">
        <f>14+21+943-J47</f>
        <v>661</v>
      </c>
      <c r="L47" s="207">
        <f t="shared" ref="L47:L52" si="26">SUM(J47:K47)</f>
        <v>978</v>
      </c>
      <c r="M47" s="227">
        <f t="shared" ref="M47:M52" si="27">IFERROR(L47/H47,"N/A")</f>
        <v>1</v>
      </c>
      <c r="N47" s="340">
        <f>Worksheet!N45</f>
        <v>1704</v>
      </c>
    </row>
    <row r="48" spans="1:14" x14ac:dyDescent="0.2">
      <c r="A48" s="225" t="s">
        <v>110</v>
      </c>
      <c r="B48" s="221"/>
      <c r="C48" s="226"/>
      <c r="D48" s="222"/>
      <c r="E48" s="223">
        <v>8.5000000000000006E-3</v>
      </c>
      <c r="F48" s="224"/>
      <c r="G48" s="318">
        <v>3886.528666666667</v>
      </c>
      <c r="H48" s="318">
        <v>810</v>
      </c>
      <c r="I48" s="207">
        <f t="shared" si="25"/>
        <v>3076.528666666667</v>
      </c>
      <c r="J48" s="329">
        <f>Worksheet!J46</f>
        <v>199</v>
      </c>
      <c r="K48" s="331">
        <f>810-199</f>
        <v>611</v>
      </c>
      <c r="L48" s="207">
        <f t="shared" si="26"/>
        <v>810</v>
      </c>
      <c r="M48" s="227">
        <f t="shared" si="27"/>
        <v>1</v>
      </c>
      <c r="N48" s="340">
        <f>Worksheet!N46</f>
        <v>2408</v>
      </c>
    </row>
    <row r="49" spans="1:14" x14ac:dyDescent="0.2">
      <c r="A49" s="225" t="s">
        <v>111</v>
      </c>
      <c r="B49" s="221"/>
      <c r="C49" s="226"/>
      <c r="D49" s="222"/>
      <c r="E49" s="223">
        <v>3.7499999999999999E-2</v>
      </c>
      <c r="F49" s="224"/>
      <c r="G49" s="318">
        <v>17146.45</v>
      </c>
      <c r="H49" s="318">
        <v>10675</v>
      </c>
      <c r="I49" s="207">
        <f t="shared" si="25"/>
        <v>6471.4500000000007</v>
      </c>
      <c r="J49" s="329">
        <f>Worksheet!J47</f>
        <v>5916</v>
      </c>
      <c r="K49" s="331">
        <f>82+564+10029-J49</f>
        <v>4759</v>
      </c>
      <c r="L49" s="207">
        <f t="shared" si="26"/>
        <v>10675</v>
      </c>
      <c r="M49" s="227">
        <f t="shared" si="27"/>
        <v>1</v>
      </c>
      <c r="N49" s="340">
        <f>Worksheet!N47</f>
        <v>19912</v>
      </c>
    </row>
    <row r="50" spans="1:14" x14ac:dyDescent="0.2">
      <c r="A50" s="225" t="s">
        <v>112</v>
      </c>
      <c r="B50" s="221"/>
      <c r="C50" s="226"/>
      <c r="D50" s="222"/>
      <c r="E50" s="223">
        <v>5.0000000000000001E-3</v>
      </c>
      <c r="F50" s="224"/>
      <c r="G50" s="318">
        <v>2286.1933333333336</v>
      </c>
      <c r="H50" s="318">
        <v>1887</v>
      </c>
      <c r="I50" s="207">
        <f t="shared" si="25"/>
        <v>399.19333333333361</v>
      </c>
      <c r="J50" s="329">
        <f>Worksheet!J48</f>
        <v>903</v>
      </c>
      <c r="K50" s="331">
        <f>29+101+1757-J50</f>
        <v>984</v>
      </c>
      <c r="L50" s="207">
        <f t="shared" si="26"/>
        <v>1887</v>
      </c>
      <c r="M50" s="227">
        <f t="shared" si="27"/>
        <v>1</v>
      </c>
      <c r="N50" s="340">
        <f>Worksheet!N48</f>
        <v>3625</v>
      </c>
    </row>
    <row r="51" spans="1:14" x14ac:dyDescent="0.2">
      <c r="A51" s="225"/>
      <c r="B51" s="221"/>
      <c r="C51" s="226"/>
      <c r="D51" s="222"/>
      <c r="E51" s="228"/>
      <c r="F51" s="224"/>
      <c r="G51" s="318">
        <v>0</v>
      </c>
      <c r="H51" s="318">
        <v>0</v>
      </c>
      <c r="I51" s="207">
        <f t="shared" si="25"/>
        <v>0</v>
      </c>
      <c r="J51" s="329">
        <f>Worksheet!J49</f>
        <v>0</v>
      </c>
      <c r="K51" s="331">
        <v>0</v>
      </c>
      <c r="L51" s="207">
        <f t="shared" si="26"/>
        <v>0</v>
      </c>
      <c r="M51" s="227" t="str">
        <f t="shared" si="27"/>
        <v>N/A</v>
      </c>
      <c r="N51" s="340">
        <f>Worksheet!N49</f>
        <v>0</v>
      </c>
    </row>
    <row r="52" spans="1:14" x14ac:dyDescent="0.2">
      <c r="A52" s="225"/>
      <c r="B52" s="221"/>
      <c r="C52" s="226"/>
      <c r="D52" s="222"/>
      <c r="E52" s="228"/>
      <c r="F52" s="224"/>
      <c r="G52" s="318">
        <v>0</v>
      </c>
      <c r="H52" s="318">
        <v>0</v>
      </c>
      <c r="I52" s="207">
        <f t="shared" si="25"/>
        <v>0</v>
      </c>
      <c r="J52" s="329">
        <f>Worksheet!J50</f>
        <v>0</v>
      </c>
      <c r="K52" s="331">
        <v>0</v>
      </c>
      <c r="L52" s="207">
        <f t="shared" si="26"/>
        <v>0</v>
      </c>
      <c r="M52" s="227" t="str">
        <f t="shared" si="27"/>
        <v>N/A</v>
      </c>
      <c r="N52" s="340">
        <f>Worksheet!N50</f>
        <v>0</v>
      </c>
    </row>
    <row r="53" spans="1:14" ht="13.5" thickBot="1" x14ac:dyDescent="0.25">
      <c r="A53" s="229"/>
      <c r="B53" s="42"/>
      <c r="C53" s="230" t="s">
        <v>113</v>
      </c>
      <c r="D53" s="231"/>
      <c r="E53" s="231"/>
      <c r="F53" s="232"/>
      <c r="G53" s="233">
        <f t="shared" ref="G53:L53" si="28">SUM(G46:G52)</f>
        <v>62870.316666666673</v>
      </c>
      <c r="H53" s="233">
        <f t="shared" si="28"/>
        <v>30789</v>
      </c>
      <c r="I53" s="233">
        <f t="shared" si="28"/>
        <v>32081.316666666666</v>
      </c>
      <c r="J53" s="233">
        <f t="shared" si="28"/>
        <v>15741</v>
      </c>
      <c r="K53" s="233">
        <f t="shared" si="28"/>
        <v>15048</v>
      </c>
      <c r="L53" s="233">
        <f t="shared" si="28"/>
        <v>30789</v>
      </c>
      <c r="M53" s="234">
        <f>IFERROR(L53/H53,"N/A")</f>
        <v>1</v>
      </c>
      <c r="N53" s="235">
        <f>SUM(N46:N52)</f>
        <v>57194</v>
      </c>
    </row>
    <row r="54" spans="1:14" ht="13.5" thickBot="1" x14ac:dyDescent="0.25">
      <c r="A54" s="30"/>
      <c r="B54" s="30"/>
      <c r="C54" s="30"/>
      <c r="D54" s="30"/>
      <c r="E54" s="30"/>
      <c r="F54" s="30"/>
    </row>
    <row r="55" spans="1:14" s="50" customFormat="1" x14ac:dyDescent="0.2">
      <c r="A55" s="12" t="s">
        <v>114</v>
      </c>
      <c r="B55" s="11"/>
      <c r="C55" s="11"/>
      <c r="D55" s="11"/>
      <c r="E55" s="11"/>
      <c r="F55" s="10"/>
      <c r="G55" s="9"/>
      <c r="H55" s="9"/>
      <c r="I55" s="9"/>
      <c r="J55" s="9"/>
      <c r="K55" s="9"/>
      <c r="L55" s="9"/>
      <c r="M55" s="8"/>
      <c r="N55" s="7"/>
    </row>
    <row r="56" spans="1:14" s="50" customFormat="1" ht="11.25" x14ac:dyDescent="0.2">
      <c r="A56" s="54" t="s">
        <v>115</v>
      </c>
      <c r="B56" s="55"/>
      <c r="C56" s="55"/>
      <c r="D56" s="55"/>
      <c r="E56" s="55"/>
      <c r="F56" s="48"/>
      <c r="G56" s="15"/>
      <c r="H56" s="15"/>
      <c r="I56" s="15"/>
      <c r="J56" s="15"/>
      <c r="K56" s="15"/>
      <c r="L56" s="15"/>
      <c r="M56" s="14"/>
      <c r="N56" s="13"/>
    </row>
    <row r="57" spans="1:14" ht="33.75" x14ac:dyDescent="0.2">
      <c r="A57" s="43" t="s">
        <v>107</v>
      </c>
      <c r="B57" s="44"/>
      <c r="C57" s="45"/>
      <c r="D57" s="45"/>
      <c r="E57" s="45"/>
      <c r="F57" s="45"/>
      <c r="G57" s="32" t="s">
        <v>37</v>
      </c>
      <c r="H57" s="32" t="s">
        <v>38</v>
      </c>
      <c r="I57" s="32" t="s">
        <v>39</v>
      </c>
      <c r="J57" s="32" t="s">
        <v>40</v>
      </c>
      <c r="K57" s="32" t="s">
        <v>41</v>
      </c>
      <c r="L57" s="32" t="s">
        <v>42</v>
      </c>
      <c r="M57" s="40" t="s">
        <v>43</v>
      </c>
      <c r="N57" s="41" t="s">
        <v>44</v>
      </c>
    </row>
    <row r="58" spans="1:14" x14ac:dyDescent="0.2">
      <c r="A58" s="236" t="s">
        <v>116</v>
      </c>
      <c r="B58" s="237"/>
      <c r="C58" s="238"/>
      <c r="D58" s="239"/>
      <c r="E58" s="240"/>
      <c r="F58" s="224"/>
      <c r="G58" s="204">
        <f>(69.91*6.35)*12</f>
        <v>5327.1419999999989</v>
      </c>
      <c r="H58" s="204">
        <v>2873</v>
      </c>
      <c r="I58" s="241">
        <f t="shared" ref="I58:I61" si="29">G58-H58</f>
        <v>2454.1419999999989</v>
      </c>
      <c r="J58" s="329">
        <f>Worksheet!J56</f>
        <v>1921</v>
      </c>
      <c r="K58" s="329">
        <f>227+2646-J58</f>
        <v>952</v>
      </c>
      <c r="L58" s="117">
        <f>SUM(J58:K58)</f>
        <v>2873</v>
      </c>
      <c r="M58" s="31">
        <f>IFERROR(L58/H58,"N/A")</f>
        <v>1</v>
      </c>
      <c r="N58" s="340">
        <f>Worksheet!N56</f>
        <v>5223</v>
      </c>
    </row>
    <row r="59" spans="1:14" x14ac:dyDescent="0.2">
      <c r="A59" s="242" t="s">
        <v>117</v>
      </c>
      <c r="B59" s="237"/>
      <c r="C59" s="238"/>
      <c r="D59" s="239"/>
      <c r="E59" s="240"/>
      <c r="F59" s="224"/>
      <c r="G59" s="204">
        <f>(22.25*6.35)*12</f>
        <v>1695.4499999999998</v>
      </c>
      <c r="H59" s="204">
        <v>571</v>
      </c>
      <c r="I59" s="241">
        <f t="shared" si="29"/>
        <v>1124.4499999999998</v>
      </c>
      <c r="J59" s="329">
        <f>Worksheet!J57</f>
        <v>608</v>
      </c>
      <c r="K59" s="331">
        <f>571-J59</f>
        <v>-37</v>
      </c>
      <c r="L59" s="207">
        <f t="shared" ref="L59:L62" si="30">SUM(J59:K59)</f>
        <v>571</v>
      </c>
      <c r="M59" s="227">
        <f t="shared" ref="M59:M62" si="31">IFERROR(L59/H59,"N/A")</f>
        <v>1</v>
      </c>
      <c r="N59" s="340">
        <f>Worksheet!N57</f>
        <v>2121</v>
      </c>
    </row>
    <row r="60" spans="1:14" x14ac:dyDescent="0.2">
      <c r="A60" s="337" t="s">
        <v>182</v>
      </c>
      <c r="B60" s="237"/>
      <c r="C60" s="238"/>
      <c r="D60" s="239"/>
      <c r="E60" s="240"/>
      <c r="F60" s="224"/>
      <c r="G60" s="318">
        <v>3902</v>
      </c>
      <c r="H60" s="318">
        <v>3902</v>
      </c>
      <c r="I60" s="241">
        <f t="shared" si="29"/>
        <v>0</v>
      </c>
      <c r="J60" s="329">
        <f>Worksheet!J58</f>
        <v>513</v>
      </c>
      <c r="K60" s="330">
        <f>3902-J60</f>
        <v>3389</v>
      </c>
      <c r="L60" s="207">
        <f t="shared" si="30"/>
        <v>3902</v>
      </c>
      <c r="M60" s="227">
        <f t="shared" si="31"/>
        <v>1</v>
      </c>
      <c r="N60" s="340">
        <f>Worksheet!N58</f>
        <v>100081</v>
      </c>
    </row>
    <row r="61" spans="1:14" x14ac:dyDescent="0.2">
      <c r="A61" s="242"/>
      <c r="B61" s="237"/>
      <c r="C61" s="238"/>
      <c r="D61" s="239"/>
      <c r="E61" s="240"/>
      <c r="F61" s="224"/>
      <c r="G61" s="318">
        <v>0</v>
      </c>
      <c r="H61" s="318">
        <v>0</v>
      </c>
      <c r="I61" s="241">
        <f t="shared" si="29"/>
        <v>0</v>
      </c>
      <c r="J61" s="329">
        <f>Worksheet!J59</f>
        <v>0</v>
      </c>
      <c r="K61" s="330">
        <v>0</v>
      </c>
      <c r="L61" s="207">
        <f t="shared" si="30"/>
        <v>0</v>
      </c>
      <c r="M61" s="227" t="str">
        <f t="shared" si="31"/>
        <v>N/A</v>
      </c>
      <c r="N61" s="340">
        <f>Worksheet!N59</f>
        <v>0</v>
      </c>
    </row>
    <row r="62" spans="1:14" x14ac:dyDescent="0.2">
      <c r="A62" s="242"/>
      <c r="B62" s="237"/>
      <c r="C62" s="238"/>
      <c r="D62" s="239"/>
      <c r="E62" s="240"/>
      <c r="F62" s="224"/>
      <c r="G62" s="319">
        <v>0</v>
      </c>
      <c r="H62" s="318">
        <v>0</v>
      </c>
      <c r="I62" s="241">
        <f t="shared" ref="I62" si="32">G62-H62</f>
        <v>0</v>
      </c>
      <c r="J62" s="329">
        <f>Worksheet!J60</f>
        <v>0</v>
      </c>
      <c r="K62" s="330">
        <v>0</v>
      </c>
      <c r="L62" s="207">
        <f t="shared" si="30"/>
        <v>0</v>
      </c>
      <c r="M62" s="227" t="str">
        <f t="shared" si="31"/>
        <v>N/A</v>
      </c>
      <c r="N62" s="340">
        <f>Worksheet!N60</f>
        <v>0</v>
      </c>
    </row>
    <row r="63" spans="1:14" ht="63.95" customHeight="1" thickBot="1" x14ac:dyDescent="0.25">
      <c r="A63" s="229"/>
      <c r="B63" s="42"/>
      <c r="C63" s="230" t="s">
        <v>119</v>
      </c>
      <c r="D63" s="231"/>
      <c r="E63" s="231"/>
      <c r="F63" s="232"/>
      <c r="G63" s="233">
        <f t="shared" ref="G63:L63" si="33">SUM(G58:G62)</f>
        <v>10924.591999999999</v>
      </c>
      <c r="H63" s="233">
        <f t="shared" si="33"/>
        <v>7346</v>
      </c>
      <c r="I63" s="233">
        <f t="shared" si="33"/>
        <v>3578.5919999999987</v>
      </c>
      <c r="J63" s="233">
        <f t="shared" si="33"/>
        <v>3042</v>
      </c>
      <c r="K63" s="233">
        <f t="shared" si="33"/>
        <v>4304</v>
      </c>
      <c r="L63" s="233">
        <f t="shared" si="33"/>
        <v>7346</v>
      </c>
      <c r="M63" s="234">
        <f>IFERROR(L63/H63,"N/A")</f>
        <v>1</v>
      </c>
      <c r="N63" s="235">
        <f>SUM(N58:N62)</f>
        <v>107425</v>
      </c>
    </row>
    <row r="64" spans="1:14" ht="13.5" thickBot="1" x14ac:dyDescent="0.25">
      <c r="A64" s="30"/>
      <c r="B64" s="30"/>
      <c r="C64" s="30"/>
      <c r="D64" s="30"/>
      <c r="E64" s="30"/>
      <c r="F64" s="30"/>
    </row>
    <row r="65" spans="1:14" s="50" customFormat="1" x14ac:dyDescent="0.2">
      <c r="A65" s="16" t="s">
        <v>120</v>
      </c>
      <c r="B65" s="11"/>
      <c r="C65" s="11"/>
      <c r="D65" s="11"/>
      <c r="E65" s="11"/>
      <c r="F65" s="10"/>
      <c r="G65" s="9"/>
      <c r="H65" s="9"/>
      <c r="I65" s="9"/>
      <c r="J65" s="9"/>
      <c r="K65" s="9"/>
      <c r="L65" s="9"/>
      <c r="M65" s="8"/>
      <c r="N65" s="7"/>
    </row>
    <row r="66" spans="1:14" x14ac:dyDescent="0.2">
      <c r="A66" s="54" t="s">
        <v>121</v>
      </c>
      <c r="B66" s="55"/>
      <c r="C66" s="55"/>
      <c r="D66" s="55"/>
      <c r="E66" s="55"/>
      <c r="F66" s="48"/>
      <c r="G66" s="15"/>
      <c r="H66" s="15"/>
      <c r="I66" s="15"/>
      <c r="J66" s="15"/>
      <c r="K66" s="15"/>
      <c r="L66" s="15"/>
      <c r="M66" s="14"/>
      <c r="N66" s="13"/>
    </row>
    <row r="67" spans="1:14" ht="33.75" x14ac:dyDescent="0.2">
      <c r="A67" s="43" t="s">
        <v>107</v>
      </c>
      <c r="B67" s="44"/>
      <c r="C67" s="45"/>
      <c r="D67" s="45"/>
      <c r="E67" s="45"/>
      <c r="F67" s="45"/>
      <c r="G67" s="32" t="s">
        <v>37</v>
      </c>
      <c r="H67" s="32" t="s">
        <v>38</v>
      </c>
      <c r="I67" s="32" t="s">
        <v>39</v>
      </c>
      <c r="J67" s="32" t="s">
        <v>40</v>
      </c>
      <c r="K67" s="32" t="s">
        <v>41</v>
      </c>
      <c r="L67" s="32" t="s">
        <v>42</v>
      </c>
      <c r="M67" s="40" t="s">
        <v>43</v>
      </c>
      <c r="N67" s="41" t="s">
        <v>44</v>
      </c>
    </row>
    <row r="68" spans="1:14" x14ac:dyDescent="0.2">
      <c r="A68" s="236" t="s">
        <v>122</v>
      </c>
      <c r="B68" s="237"/>
      <c r="C68" s="238"/>
      <c r="D68" s="239"/>
      <c r="E68" s="240"/>
      <c r="F68" s="224"/>
      <c r="G68" s="318">
        <v>23514</v>
      </c>
      <c r="H68" s="204">
        <v>17718</v>
      </c>
      <c r="I68" s="117">
        <f t="shared" ref="I68:I85" si="34">G68-H68</f>
        <v>5796</v>
      </c>
      <c r="J68" s="329">
        <f>Worksheet!J66</f>
        <v>5003</v>
      </c>
      <c r="K68" s="329">
        <v>12715</v>
      </c>
      <c r="L68" s="117">
        <f>SUM(J68:K68)</f>
        <v>17718</v>
      </c>
      <c r="M68" s="31">
        <f>IFERROR(L68/H68,"N/A")</f>
        <v>1</v>
      </c>
      <c r="N68" s="340">
        <f>Worksheet!N66</f>
        <v>23514</v>
      </c>
    </row>
    <row r="69" spans="1:14" x14ac:dyDescent="0.2">
      <c r="A69" s="242" t="s">
        <v>123</v>
      </c>
      <c r="B69" s="237"/>
      <c r="C69" s="238"/>
      <c r="D69" s="239"/>
      <c r="E69" s="240"/>
      <c r="F69" s="224"/>
      <c r="G69" s="318">
        <v>2492</v>
      </c>
      <c r="H69" s="204">
        <v>1385</v>
      </c>
      <c r="I69" s="207">
        <f t="shared" si="34"/>
        <v>1107</v>
      </c>
      <c r="J69" s="329">
        <f>Worksheet!J67</f>
        <v>170</v>
      </c>
      <c r="K69" s="331">
        <v>1215</v>
      </c>
      <c r="L69" s="207">
        <f>SUM(J69:K69)</f>
        <v>1385</v>
      </c>
      <c r="M69" s="227">
        <f>IFERROR(L69/H69,"N/A")</f>
        <v>1</v>
      </c>
      <c r="N69" s="340">
        <f>Worksheet!N67</f>
        <v>2492</v>
      </c>
    </row>
    <row r="70" spans="1:14" x14ac:dyDescent="0.2">
      <c r="A70" s="242" t="s">
        <v>124</v>
      </c>
      <c r="B70" s="237"/>
      <c r="C70" s="238"/>
      <c r="D70" s="239"/>
      <c r="E70" s="240"/>
      <c r="F70" s="224"/>
      <c r="G70" s="318">
        <v>4506</v>
      </c>
      <c r="H70" s="204">
        <v>2771</v>
      </c>
      <c r="I70" s="117">
        <f t="shared" si="34"/>
        <v>1735</v>
      </c>
      <c r="J70" s="329">
        <f>Worksheet!J68</f>
        <v>826</v>
      </c>
      <c r="K70" s="329">
        <v>1945</v>
      </c>
      <c r="L70" s="117">
        <f t="shared" ref="L70:L80" si="35">SUM(J70:K70)</f>
        <v>2771</v>
      </c>
      <c r="M70" s="31">
        <f t="shared" ref="M70:M80" si="36">IFERROR(L70/H70,"N/A")</f>
        <v>1</v>
      </c>
      <c r="N70" s="340">
        <f>Worksheet!N68</f>
        <v>4506</v>
      </c>
    </row>
    <row r="71" spans="1:14" x14ac:dyDescent="0.2">
      <c r="A71" s="242" t="s">
        <v>125</v>
      </c>
      <c r="B71" s="237"/>
      <c r="C71" s="238"/>
      <c r="D71" s="239"/>
      <c r="E71" s="240"/>
      <c r="F71" s="224"/>
      <c r="G71" s="318">
        <v>1160</v>
      </c>
      <c r="H71" s="204">
        <v>129</v>
      </c>
      <c r="I71" s="117">
        <f t="shared" si="34"/>
        <v>1031</v>
      </c>
      <c r="J71" s="329">
        <f>Worksheet!J69</f>
        <v>119</v>
      </c>
      <c r="K71" s="329">
        <f>129-J71</f>
        <v>10</v>
      </c>
      <c r="L71" s="117">
        <f t="shared" si="35"/>
        <v>129</v>
      </c>
      <c r="M71" s="31">
        <f t="shared" si="36"/>
        <v>1</v>
      </c>
      <c r="N71" s="340">
        <f>Worksheet!N69</f>
        <v>629</v>
      </c>
    </row>
    <row r="72" spans="1:14" x14ac:dyDescent="0.2">
      <c r="A72" s="242" t="s">
        <v>126</v>
      </c>
      <c r="B72" s="237"/>
      <c r="C72" s="238"/>
      <c r="D72" s="239"/>
      <c r="E72" s="240"/>
      <c r="F72" s="224"/>
      <c r="G72" s="318">
        <f>(42.23*6.35)*12</f>
        <v>3217.9259999999995</v>
      </c>
      <c r="H72" s="204">
        <v>2656</v>
      </c>
      <c r="I72" s="117">
        <f t="shared" si="34"/>
        <v>561.92599999999948</v>
      </c>
      <c r="J72" s="329">
        <f>Worksheet!J70</f>
        <v>1351</v>
      </c>
      <c r="K72" s="329">
        <f>351+2305-J72</f>
        <v>1305</v>
      </c>
      <c r="L72" s="117">
        <f t="shared" si="35"/>
        <v>2656</v>
      </c>
      <c r="M72" s="31">
        <f t="shared" si="36"/>
        <v>1</v>
      </c>
      <c r="N72" s="340">
        <f>Worksheet!N70</f>
        <v>6564</v>
      </c>
    </row>
    <row r="73" spans="1:14" ht="15.6" customHeight="1" x14ac:dyDescent="0.2">
      <c r="A73" s="242" t="s">
        <v>128</v>
      </c>
      <c r="B73" s="237"/>
      <c r="C73" s="238"/>
      <c r="D73" s="239"/>
      <c r="E73" s="240"/>
      <c r="F73" s="224"/>
      <c r="G73" s="318">
        <f>13078+38000+784-1468</f>
        <v>50394</v>
      </c>
      <c r="H73" s="318">
        <v>0</v>
      </c>
      <c r="I73" s="241">
        <f t="shared" si="34"/>
        <v>50394</v>
      </c>
      <c r="J73" s="329">
        <f>Worksheet!J71</f>
        <v>0</v>
      </c>
      <c r="K73" s="330">
        <v>0</v>
      </c>
      <c r="L73" s="207">
        <f t="shared" si="35"/>
        <v>0</v>
      </c>
      <c r="M73" s="227" t="str">
        <f t="shared" si="36"/>
        <v>N/A</v>
      </c>
      <c r="N73" s="340">
        <f>Worksheet!N71</f>
        <v>64673</v>
      </c>
    </row>
    <row r="74" spans="1:14" x14ac:dyDescent="0.2">
      <c r="A74" s="242" t="s">
        <v>129</v>
      </c>
      <c r="B74" s="237"/>
      <c r="C74" s="238"/>
      <c r="D74" s="239"/>
      <c r="E74" s="240"/>
      <c r="F74" s="224"/>
      <c r="G74" s="318">
        <v>3099</v>
      </c>
      <c r="H74" s="318">
        <v>1014</v>
      </c>
      <c r="I74" s="241">
        <f t="shared" si="34"/>
        <v>2085</v>
      </c>
      <c r="J74" s="329">
        <f>Worksheet!J72</f>
        <v>0</v>
      </c>
      <c r="K74" s="330">
        <v>1014</v>
      </c>
      <c r="L74" s="207">
        <f t="shared" si="35"/>
        <v>1014</v>
      </c>
      <c r="M74" s="227">
        <f>IFERROR(L74/H74,"N/A")</f>
        <v>1</v>
      </c>
      <c r="N74" s="340">
        <f>Worksheet!N72</f>
        <v>3099</v>
      </c>
    </row>
    <row r="75" spans="1:14" x14ac:dyDescent="0.2">
      <c r="A75" s="242" t="s">
        <v>130</v>
      </c>
      <c r="B75" s="237"/>
      <c r="C75" s="238"/>
      <c r="D75" s="239"/>
      <c r="E75" s="240"/>
      <c r="F75" s="224"/>
      <c r="G75" s="318">
        <v>14665</v>
      </c>
      <c r="H75" s="318">
        <v>14000</v>
      </c>
      <c r="I75" s="241">
        <f t="shared" si="34"/>
        <v>665</v>
      </c>
      <c r="J75" s="329">
        <f>Worksheet!J73</f>
        <v>0</v>
      </c>
      <c r="K75" s="330">
        <f>42000/3</f>
        <v>14000</v>
      </c>
      <c r="L75" s="207">
        <f t="shared" si="35"/>
        <v>14000</v>
      </c>
      <c r="M75" s="227">
        <f t="shared" si="36"/>
        <v>1</v>
      </c>
      <c r="N75" s="340">
        <f>Worksheet!N73</f>
        <v>14665</v>
      </c>
    </row>
    <row r="76" spans="1:14" x14ac:dyDescent="0.2">
      <c r="A76" s="242" t="s">
        <v>131</v>
      </c>
      <c r="B76" s="237"/>
      <c r="C76" s="238"/>
      <c r="D76" s="239"/>
      <c r="E76" s="240"/>
      <c r="F76" s="224"/>
      <c r="G76" s="318">
        <f>(53.39*6.35)*12</f>
        <v>4068.3180000000002</v>
      </c>
      <c r="H76" s="318">
        <v>2699</v>
      </c>
      <c r="I76" s="241">
        <f t="shared" si="34"/>
        <v>1369.3180000000002</v>
      </c>
      <c r="J76" s="329">
        <f>Worksheet!J74</f>
        <v>1424</v>
      </c>
      <c r="K76" s="330">
        <f>2699-J76</f>
        <v>1275</v>
      </c>
      <c r="L76" s="207">
        <f t="shared" si="35"/>
        <v>2699</v>
      </c>
      <c r="M76" s="227">
        <f t="shared" si="36"/>
        <v>1</v>
      </c>
      <c r="N76" s="340">
        <f>Worksheet!N74</f>
        <v>7842</v>
      </c>
    </row>
    <row r="77" spans="1:14" x14ac:dyDescent="0.2">
      <c r="A77" s="242" t="s">
        <v>132</v>
      </c>
      <c r="B77" s="237"/>
      <c r="C77" s="238"/>
      <c r="D77" s="239"/>
      <c r="E77" s="240"/>
      <c r="F77" s="224"/>
      <c r="G77" s="318">
        <v>996</v>
      </c>
      <c r="H77" s="318">
        <v>680</v>
      </c>
      <c r="I77" s="241">
        <f t="shared" si="34"/>
        <v>316</v>
      </c>
      <c r="J77" s="329">
        <f>Worksheet!J75</f>
        <v>278</v>
      </c>
      <c r="K77" s="330">
        <f>680-J77</f>
        <v>402</v>
      </c>
      <c r="L77" s="207">
        <f t="shared" si="35"/>
        <v>680</v>
      </c>
      <c r="M77" s="227">
        <f t="shared" si="36"/>
        <v>1</v>
      </c>
      <c r="N77" s="340">
        <f>Worksheet!N75</f>
        <v>996</v>
      </c>
    </row>
    <row r="78" spans="1:14" x14ac:dyDescent="0.2">
      <c r="A78" s="242" t="s">
        <v>133</v>
      </c>
      <c r="B78" s="237"/>
      <c r="C78" s="238"/>
      <c r="D78" s="239"/>
      <c r="E78" s="240"/>
      <c r="F78" s="224"/>
      <c r="G78" s="318">
        <v>3930</v>
      </c>
      <c r="H78" s="318">
        <v>1893</v>
      </c>
      <c r="I78" s="241">
        <f t="shared" si="34"/>
        <v>2037</v>
      </c>
      <c r="J78" s="329">
        <f>Worksheet!J76</f>
        <v>417</v>
      </c>
      <c r="K78" s="330">
        <f>1503+90+300-J78</f>
        <v>1476</v>
      </c>
      <c r="L78" s="207">
        <f t="shared" si="35"/>
        <v>1893</v>
      </c>
      <c r="M78" s="227">
        <f t="shared" si="36"/>
        <v>1</v>
      </c>
      <c r="N78" s="340">
        <f>Worksheet!N76</f>
        <v>3930</v>
      </c>
    </row>
    <row r="79" spans="1:14" x14ac:dyDescent="0.2">
      <c r="A79" s="242" t="s">
        <v>134</v>
      </c>
      <c r="B79" s="237"/>
      <c r="C79" s="238"/>
      <c r="D79" s="239"/>
      <c r="E79" s="240"/>
      <c r="F79" s="224"/>
      <c r="G79" s="318">
        <v>3000</v>
      </c>
      <c r="H79" s="204">
        <v>0</v>
      </c>
      <c r="I79" s="117">
        <f t="shared" si="34"/>
        <v>3000</v>
      </c>
      <c r="J79" s="329">
        <f>Worksheet!J77</f>
        <v>211</v>
      </c>
      <c r="K79" s="329">
        <f>0-J79</f>
        <v>-211</v>
      </c>
      <c r="L79" s="117">
        <f t="shared" si="35"/>
        <v>0</v>
      </c>
      <c r="M79" s="31" t="str">
        <f t="shared" si="36"/>
        <v>N/A</v>
      </c>
      <c r="N79" s="340">
        <f>Worksheet!N77</f>
        <v>520</v>
      </c>
    </row>
    <row r="80" spans="1:14" x14ac:dyDescent="0.2">
      <c r="A80" s="242" t="s">
        <v>135</v>
      </c>
      <c r="B80" s="237"/>
      <c r="C80" s="238"/>
      <c r="D80" s="239"/>
      <c r="E80" s="240"/>
      <c r="F80" s="224"/>
      <c r="G80" s="320">
        <v>1880</v>
      </c>
      <c r="H80" s="204">
        <v>664</v>
      </c>
      <c r="I80" s="207">
        <f t="shared" si="34"/>
        <v>1216</v>
      </c>
      <c r="J80" s="329">
        <f>Worksheet!J78</f>
        <v>766</v>
      </c>
      <c r="K80" s="331">
        <f>33+631-J80</f>
        <v>-102</v>
      </c>
      <c r="L80" s="207">
        <f t="shared" si="35"/>
        <v>664</v>
      </c>
      <c r="M80" s="227">
        <f t="shared" si="36"/>
        <v>1</v>
      </c>
      <c r="N80" s="340">
        <f>Worksheet!N78</f>
        <v>1837</v>
      </c>
    </row>
    <row r="81" spans="1:14" x14ac:dyDescent="0.2">
      <c r="A81" s="244" t="s">
        <v>136</v>
      </c>
      <c r="B81" s="237"/>
      <c r="C81" s="238"/>
      <c r="D81" s="239"/>
      <c r="E81" s="240"/>
      <c r="F81" s="224"/>
      <c r="G81" s="318">
        <v>575</v>
      </c>
      <c r="H81" s="204">
        <v>180</v>
      </c>
      <c r="I81" s="117">
        <f t="shared" si="34"/>
        <v>395</v>
      </c>
      <c r="J81" s="329">
        <f>Worksheet!J79</f>
        <v>180</v>
      </c>
      <c r="K81" s="329">
        <f>180-J81</f>
        <v>0</v>
      </c>
      <c r="L81" s="117">
        <f t="shared" ref="L81:L85" si="37">SUM(J81:K81)</f>
        <v>180</v>
      </c>
      <c r="M81" s="31">
        <f t="shared" ref="M81:M85" si="38">IFERROR(L81/H81,"N/A")</f>
        <v>1</v>
      </c>
      <c r="N81" s="340">
        <f>Worksheet!N79</f>
        <v>980</v>
      </c>
    </row>
    <row r="82" spans="1:14" x14ac:dyDescent="0.2">
      <c r="A82" s="244" t="s">
        <v>137</v>
      </c>
      <c r="B82" s="237"/>
      <c r="C82" s="238"/>
      <c r="D82" s="239"/>
      <c r="E82" s="240"/>
      <c r="F82" s="224"/>
      <c r="G82" s="319">
        <v>770</v>
      </c>
      <c r="H82" s="204">
        <v>235</v>
      </c>
      <c r="I82" s="117">
        <f t="shared" si="34"/>
        <v>535</v>
      </c>
      <c r="J82" s="329">
        <f>Worksheet!J80</f>
        <v>235</v>
      </c>
      <c r="K82" s="329">
        <f>235-J82</f>
        <v>0</v>
      </c>
      <c r="L82" s="117">
        <f t="shared" si="37"/>
        <v>235</v>
      </c>
      <c r="M82" s="31">
        <f t="shared" si="38"/>
        <v>1</v>
      </c>
      <c r="N82" s="340">
        <f>Worksheet!N80</f>
        <v>531</v>
      </c>
    </row>
    <row r="83" spans="1:14" x14ac:dyDescent="0.2">
      <c r="A83" s="242" t="s">
        <v>138</v>
      </c>
      <c r="B83" s="237"/>
      <c r="C83" s="245"/>
      <c r="D83" s="246"/>
      <c r="E83" s="247"/>
      <c r="F83" s="224"/>
      <c r="G83" s="318">
        <v>6131</v>
      </c>
      <c r="H83" s="204">
        <v>2186</v>
      </c>
      <c r="I83" s="117">
        <f t="shared" si="34"/>
        <v>3945</v>
      </c>
      <c r="J83" s="329">
        <f>Worksheet!J81</f>
        <v>475</v>
      </c>
      <c r="K83" s="329">
        <f>461+1725-J83</f>
        <v>1711</v>
      </c>
      <c r="L83" s="117">
        <f t="shared" ref="L83:L84" si="39">SUM(J83:K83)</f>
        <v>2186</v>
      </c>
      <c r="M83" s="31">
        <f t="shared" ref="M83:M84" si="40">IFERROR(L83/H83,"N/A")</f>
        <v>1</v>
      </c>
      <c r="N83" s="340">
        <f>Worksheet!N81</f>
        <v>6131</v>
      </c>
    </row>
    <row r="84" spans="1:14" x14ac:dyDescent="0.2">
      <c r="A84" s="244"/>
      <c r="B84" s="237"/>
      <c r="C84" s="245"/>
      <c r="D84" s="246"/>
      <c r="E84" s="247"/>
      <c r="F84" s="224"/>
      <c r="G84" s="319">
        <v>0</v>
      </c>
      <c r="H84" s="204">
        <v>0</v>
      </c>
      <c r="I84" s="117">
        <f t="shared" si="34"/>
        <v>0</v>
      </c>
      <c r="J84" s="329">
        <f>Worksheet!J82</f>
        <v>0</v>
      </c>
      <c r="K84" s="329">
        <v>0</v>
      </c>
      <c r="L84" s="117">
        <f t="shared" si="39"/>
        <v>0</v>
      </c>
      <c r="M84" s="31" t="str">
        <f t="shared" si="40"/>
        <v>N/A</v>
      </c>
      <c r="N84" s="340">
        <f>Worksheet!N82</f>
        <v>0</v>
      </c>
    </row>
    <row r="85" spans="1:14" x14ac:dyDescent="0.2">
      <c r="A85" s="244"/>
      <c r="B85" s="237"/>
      <c r="C85" s="245"/>
      <c r="D85" s="246"/>
      <c r="E85" s="247"/>
      <c r="F85" s="224"/>
      <c r="G85" s="318">
        <v>0</v>
      </c>
      <c r="H85" s="204">
        <v>0</v>
      </c>
      <c r="I85" s="117">
        <f t="shared" si="34"/>
        <v>0</v>
      </c>
      <c r="J85" s="329">
        <f>Worksheet!J83</f>
        <v>0</v>
      </c>
      <c r="K85" s="329">
        <v>0</v>
      </c>
      <c r="L85" s="117">
        <f t="shared" si="37"/>
        <v>0</v>
      </c>
      <c r="M85" s="31" t="str">
        <f t="shared" si="38"/>
        <v>N/A</v>
      </c>
      <c r="N85" s="340">
        <f>Worksheet!N83</f>
        <v>0</v>
      </c>
    </row>
    <row r="86" spans="1:14" ht="13.5" thickBot="1" x14ac:dyDescent="0.25">
      <c r="A86" s="229"/>
      <c r="B86" s="42"/>
      <c r="C86" s="230" t="s">
        <v>139</v>
      </c>
      <c r="D86" s="231"/>
      <c r="E86" s="231"/>
      <c r="F86" s="232"/>
      <c r="G86" s="233">
        <f t="shared" ref="G86:L86" si="41">SUM(G68:G85)</f>
        <v>124398.24400000001</v>
      </c>
      <c r="H86" s="233">
        <f t="shared" si="41"/>
        <v>48210</v>
      </c>
      <c r="I86" s="233">
        <f t="shared" si="41"/>
        <v>76188.244000000006</v>
      </c>
      <c r="J86" s="233">
        <f t="shared" si="41"/>
        <v>11455</v>
      </c>
      <c r="K86" s="233">
        <f t="shared" si="41"/>
        <v>36755</v>
      </c>
      <c r="L86" s="233">
        <f t="shared" si="41"/>
        <v>48210</v>
      </c>
      <c r="M86" s="234">
        <f>IFERROR(L86/H86,"N/A")</f>
        <v>1</v>
      </c>
      <c r="N86" s="235">
        <f>SUM(N68:N85)</f>
        <v>142909</v>
      </c>
    </row>
    <row r="87" spans="1:14" ht="13.5" thickBot="1" x14ac:dyDescent="0.25">
      <c r="A87" s="30"/>
      <c r="B87" s="30"/>
      <c r="C87" s="30"/>
      <c r="D87" s="30"/>
      <c r="E87" s="30"/>
      <c r="F87" s="30"/>
    </row>
    <row r="88" spans="1:14" s="50" customFormat="1" x14ac:dyDescent="0.2">
      <c r="A88" s="12" t="s">
        <v>140</v>
      </c>
      <c r="B88" s="11"/>
      <c r="C88" s="11"/>
      <c r="D88" s="11"/>
      <c r="E88" s="11"/>
      <c r="F88" s="10"/>
      <c r="G88" s="9"/>
      <c r="H88" s="9"/>
      <c r="I88" s="9"/>
      <c r="J88" s="9"/>
      <c r="K88" s="9"/>
      <c r="L88" s="9"/>
      <c r="M88" s="8"/>
      <c r="N88" s="7"/>
    </row>
    <row r="89" spans="1:14" x14ac:dyDescent="0.2">
      <c r="A89" s="54" t="s">
        <v>141</v>
      </c>
      <c r="B89" s="55"/>
      <c r="C89" s="55"/>
      <c r="D89" s="55"/>
      <c r="E89" s="55"/>
      <c r="F89" s="48"/>
      <c r="G89" s="15"/>
      <c r="H89" s="15"/>
      <c r="I89" s="15"/>
      <c r="J89" s="15"/>
      <c r="K89" s="15"/>
      <c r="L89" s="15"/>
      <c r="M89" s="14"/>
      <c r="N89" s="13"/>
    </row>
    <row r="90" spans="1:14" ht="33.75" x14ac:dyDescent="0.2">
      <c r="A90" s="43" t="s">
        <v>107</v>
      </c>
      <c r="B90" s="44"/>
      <c r="C90" s="45"/>
      <c r="D90" s="45"/>
      <c r="E90" s="45"/>
      <c r="F90" s="45"/>
      <c r="G90" s="32" t="s">
        <v>37</v>
      </c>
      <c r="H90" s="32" t="s">
        <v>38</v>
      </c>
      <c r="I90" s="32" t="s">
        <v>39</v>
      </c>
      <c r="J90" s="32" t="s">
        <v>40</v>
      </c>
      <c r="K90" s="32" t="s">
        <v>41</v>
      </c>
      <c r="L90" s="32" t="s">
        <v>42</v>
      </c>
      <c r="M90" s="40" t="s">
        <v>43</v>
      </c>
      <c r="N90" s="41" t="s">
        <v>44</v>
      </c>
    </row>
    <row r="91" spans="1:14" x14ac:dyDescent="0.2">
      <c r="A91" s="236"/>
      <c r="B91" s="237"/>
      <c r="C91" s="238"/>
      <c r="D91" s="239"/>
      <c r="E91" s="240"/>
      <c r="F91" s="224"/>
      <c r="G91" s="204">
        <v>0</v>
      </c>
      <c r="H91" s="204">
        <v>0</v>
      </c>
      <c r="I91" s="117">
        <f t="shared" ref="I91:I93" si="42">G91-H91</f>
        <v>0</v>
      </c>
      <c r="J91" s="329">
        <f>Worksheet!J89</f>
        <v>0</v>
      </c>
      <c r="K91" s="329">
        <v>0</v>
      </c>
      <c r="L91" s="117">
        <f>SUM(J91:K91)</f>
        <v>0</v>
      </c>
      <c r="M91" s="31" t="str">
        <f>IFERROR(L91/H91,"N/A")</f>
        <v>N/A</v>
      </c>
      <c r="N91" s="340">
        <f>Worksheet!N89</f>
        <v>0</v>
      </c>
    </row>
    <row r="92" spans="1:14" x14ac:dyDescent="0.2">
      <c r="A92" s="242"/>
      <c r="B92" s="237"/>
      <c r="C92" s="238"/>
      <c r="D92" s="239"/>
      <c r="E92" s="240"/>
      <c r="F92" s="224"/>
      <c r="G92" s="204">
        <v>0</v>
      </c>
      <c r="H92" s="204">
        <v>0</v>
      </c>
      <c r="I92" s="117">
        <f t="shared" si="42"/>
        <v>0</v>
      </c>
      <c r="J92" s="329">
        <f>Worksheet!J90</f>
        <v>0</v>
      </c>
      <c r="K92" s="329">
        <v>0</v>
      </c>
      <c r="L92" s="117">
        <f t="shared" ref="L92:L93" si="43">SUM(J92:K92)</f>
        <v>0</v>
      </c>
      <c r="M92" s="31" t="str">
        <f t="shared" ref="M92:M93" si="44">IFERROR(L92/H92,"N/A")</f>
        <v>N/A</v>
      </c>
      <c r="N92" s="340">
        <f>Worksheet!N90</f>
        <v>0</v>
      </c>
    </row>
    <row r="93" spans="1:14" x14ac:dyDescent="0.2">
      <c r="A93" s="242"/>
      <c r="B93" s="237"/>
      <c r="C93" s="238"/>
      <c r="D93" s="239"/>
      <c r="E93" s="240"/>
      <c r="F93" s="224"/>
      <c r="G93" s="204">
        <v>0</v>
      </c>
      <c r="H93" s="204">
        <v>0</v>
      </c>
      <c r="I93" s="117">
        <f t="shared" si="42"/>
        <v>0</v>
      </c>
      <c r="J93" s="329">
        <f>Worksheet!J91</f>
        <v>0</v>
      </c>
      <c r="K93" s="329">
        <v>0</v>
      </c>
      <c r="L93" s="117">
        <f t="shared" si="43"/>
        <v>0</v>
      </c>
      <c r="M93" s="31" t="str">
        <f t="shared" si="44"/>
        <v>N/A</v>
      </c>
      <c r="N93" s="340">
        <f>Worksheet!N91</f>
        <v>0</v>
      </c>
    </row>
    <row r="94" spans="1:14" ht="13.5" thickBot="1" x14ac:dyDescent="0.25">
      <c r="A94" s="229"/>
      <c r="B94" s="42"/>
      <c r="C94" s="230" t="s">
        <v>142</v>
      </c>
      <c r="D94" s="231"/>
      <c r="E94" s="231"/>
      <c r="F94" s="232"/>
      <c r="G94" s="233">
        <f t="shared" ref="G94:L94" si="45">SUM(G91:G93)</f>
        <v>0</v>
      </c>
      <c r="H94" s="233">
        <f t="shared" si="45"/>
        <v>0</v>
      </c>
      <c r="I94" s="233">
        <f t="shared" si="45"/>
        <v>0</v>
      </c>
      <c r="J94" s="233">
        <f t="shared" si="45"/>
        <v>0</v>
      </c>
      <c r="K94" s="233">
        <f t="shared" si="45"/>
        <v>0</v>
      </c>
      <c r="L94" s="233">
        <f t="shared" si="45"/>
        <v>0</v>
      </c>
      <c r="M94" s="234" t="str">
        <f>IFERROR(L94/H94,"N/A")</f>
        <v>N/A</v>
      </c>
      <c r="N94" s="235">
        <f>SUM(N91:N93)</f>
        <v>0</v>
      </c>
    </row>
    <row r="95" spans="1:14" ht="13.5" thickBot="1" x14ac:dyDescent="0.25">
      <c r="A95" s="30"/>
      <c r="B95" s="30"/>
      <c r="C95" s="30"/>
      <c r="D95" s="30"/>
      <c r="E95" s="30"/>
      <c r="F95" s="30"/>
    </row>
    <row r="96" spans="1:14" s="50" customFormat="1" x14ac:dyDescent="0.2">
      <c r="A96" s="12" t="s">
        <v>143</v>
      </c>
      <c r="B96" s="11"/>
      <c r="C96" s="11"/>
      <c r="D96" s="11"/>
      <c r="E96" s="11"/>
      <c r="F96" s="10"/>
      <c r="G96" s="9"/>
      <c r="H96" s="9"/>
      <c r="I96" s="9"/>
      <c r="J96" s="9"/>
      <c r="K96" s="9"/>
      <c r="L96" s="9"/>
      <c r="M96" s="8"/>
      <c r="N96" s="7"/>
    </row>
    <row r="97" spans="1:14" x14ac:dyDescent="0.2">
      <c r="A97" s="54" t="s">
        <v>144</v>
      </c>
      <c r="B97" s="55"/>
      <c r="C97" s="55"/>
      <c r="D97" s="55"/>
      <c r="E97" s="55"/>
      <c r="F97" s="48"/>
      <c r="G97" s="15"/>
      <c r="H97" s="15"/>
      <c r="I97" s="15"/>
      <c r="J97" s="15"/>
      <c r="K97" s="15"/>
      <c r="L97" s="15"/>
      <c r="M97" s="14"/>
      <c r="N97" s="13"/>
    </row>
    <row r="98" spans="1:14" ht="33.75" x14ac:dyDescent="0.2">
      <c r="A98" s="43" t="s">
        <v>107</v>
      </c>
      <c r="B98" s="44"/>
      <c r="C98" s="45"/>
      <c r="D98" s="45"/>
      <c r="E98" s="45"/>
      <c r="F98" s="45"/>
      <c r="G98" s="32" t="s">
        <v>37</v>
      </c>
      <c r="H98" s="32" t="s">
        <v>38</v>
      </c>
      <c r="I98" s="32" t="s">
        <v>39</v>
      </c>
      <c r="J98" s="32" t="s">
        <v>40</v>
      </c>
      <c r="K98" s="32" t="s">
        <v>41</v>
      </c>
      <c r="L98" s="32" t="s">
        <v>42</v>
      </c>
      <c r="M98" s="40" t="s">
        <v>43</v>
      </c>
      <c r="N98" s="41" t="s">
        <v>44</v>
      </c>
    </row>
    <row r="99" spans="1:14" x14ac:dyDescent="0.2">
      <c r="A99" s="236"/>
      <c r="B99" s="237"/>
      <c r="C99" s="238"/>
      <c r="D99" s="239"/>
      <c r="E99" s="240"/>
      <c r="F99" s="224"/>
      <c r="G99" s="204">
        <v>0</v>
      </c>
      <c r="H99" s="204">
        <v>0</v>
      </c>
      <c r="I99" s="117">
        <f t="shared" ref="I99:I101" si="46">G99-H99</f>
        <v>0</v>
      </c>
      <c r="J99" s="329">
        <f>Worksheet!J97</f>
        <v>0</v>
      </c>
      <c r="K99" s="329">
        <v>0</v>
      </c>
      <c r="L99" s="117">
        <f>SUM(J99:K99)</f>
        <v>0</v>
      </c>
      <c r="M99" s="31" t="str">
        <f>IFERROR(L99/H99,"N/A")</f>
        <v>N/A</v>
      </c>
      <c r="N99" s="340">
        <f>Worksheet!N97</f>
        <v>0</v>
      </c>
    </row>
    <row r="100" spans="1:14" x14ac:dyDescent="0.2">
      <c r="A100" s="242"/>
      <c r="B100" s="237"/>
      <c r="C100" s="238"/>
      <c r="D100" s="239"/>
      <c r="E100" s="240"/>
      <c r="F100" s="224"/>
      <c r="G100" s="204">
        <v>0</v>
      </c>
      <c r="H100" s="204">
        <v>0</v>
      </c>
      <c r="I100" s="117">
        <f t="shared" si="46"/>
        <v>0</v>
      </c>
      <c r="J100" s="329">
        <f>Worksheet!J98</f>
        <v>0</v>
      </c>
      <c r="K100" s="329">
        <v>0</v>
      </c>
      <c r="L100" s="117">
        <f t="shared" ref="L100:L101" si="47">SUM(J100:K100)</f>
        <v>0</v>
      </c>
      <c r="M100" s="31" t="str">
        <f t="shared" ref="M100:M101" si="48">IFERROR(L100/H100,"N/A")</f>
        <v>N/A</v>
      </c>
      <c r="N100" s="340">
        <f>Worksheet!N98</f>
        <v>0</v>
      </c>
    </row>
    <row r="101" spans="1:14" x14ac:dyDescent="0.2">
      <c r="A101" s="242"/>
      <c r="B101" s="237"/>
      <c r="C101" s="238"/>
      <c r="D101" s="239"/>
      <c r="E101" s="240"/>
      <c r="F101" s="224"/>
      <c r="G101" s="204">
        <v>0</v>
      </c>
      <c r="H101" s="204">
        <v>0</v>
      </c>
      <c r="I101" s="117">
        <f t="shared" si="46"/>
        <v>0</v>
      </c>
      <c r="J101" s="329">
        <f>Worksheet!J99</f>
        <v>0</v>
      </c>
      <c r="K101" s="329">
        <v>0</v>
      </c>
      <c r="L101" s="117">
        <f t="shared" si="47"/>
        <v>0</v>
      </c>
      <c r="M101" s="31" t="str">
        <f t="shared" si="48"/>
        <v>N/A</v>
      </c>
      <c r="N101" s="340">
        <f>Worksheet!N99</f>
        <v>0</v>
      </c>
    </row>
    <row r="102" spans="1:14" ht="13.5" thickBot="1" x14ac:dyDescent="0.25">
      <c r="A102" s="229"/>
      <c r="B102" s="42"/>
      <c r="C102" s="230" t="s">
        <v>145</v>
      </c>
      <c r="D102" s="231"/>
      <c r="E102" s="231"/>
      <c r="F102" s="232"/>
      <c r="G102" s="233">
        <f t="shared" ref="G102:L102" si="49">SUM(G99:G101)</f>
        <v>0</v>
      </c>
      <c r="H102" s="233">
        <f t="shared" si="49"/>
        <v>0</v>
      </c>
      <c r="I102" s="233">
        <f t="shared" si="49"/>
        <v>0</v>
      </c>
      <c r="J102" s="233">
        <f t="shared" si="49"/>
        <v>0</v>
      </c>
      <c r="K102" s="233">
        <f t="shared" si="49"/>
        <v>0</v>
      </c>
      <c r="L102" s="233">
        <f t="shared" si="49"/>
        <v>0</v>
      </c>
      <c r="M102" s="234" t="str">
        <f>IFERROR(L102/H102,"N/A")</f>
        <v>N/A</v>
      </c>
      <c r="N102" s="235">
        <f>SUM(N99:N101)</f>
        <v>0</v>
      </c>
    </row>
    <row r="103" spans="1:14" ht="13.5" thickBot="1" x14ac:dyDescent="0.25">
      <c r="A103" s="30"/>
      <c r="B103" s="30"/>
      <c r="C103" s="30"/>
      <c r="D103" s="30"/>
      <c r="E103" s="30"/>
      <c r="F103" s="30"/>
    </row>
    <row r="104" spans="1:14" s="50" customFormat="1" x14ac:dyDescent="0.2">
      <c r="A104" s="12" t="s">
        <v>146</v>
      </c>
      <c r="B104" s="11"/>
      <c r="C104" s="11"/>
      <c r="D104" s="11"/>
      <c r="E104" s="11"/>
      <c r="F104" s="10"/>
      <c r="G104" s="9"/>
      <c r="H104" s="9"/>
      <c r="I104" s="9"/>
      <c r="J104" s="9"/>
      <c r="K104" s="9"/>
      <c r="L104" s="9"/>
      <c r="M104" s="8"/>
      <c r="N104" s="7"/>
    </row>
    <row r="105" spans="1:14" s="50" customFormat="1" ht="11.25" x14ac:dyDescent="0.2">
      <c r="A105" s="54" t="s">
        <v>147</v>
      </c>
      <c r="B105" s="47"/>
      <c r="C105" s="47"/>
      <c r="D105" s="47"/>
      <c r="E105" s="47"/>
      <c r="F105" s="48"/>
      <c r="G105" s="48"/>
      <c r="H105" s="48"/>
      <c r="I105" s="48"/>
      <c r="J105" s="48"/>
      <c r="K105" s="48"/>
      <c r="L105" s="48"/>
      <c r="M105" s="94"/>
      <c r="N105" s="49"/>
    </row>
    <row r="106" spans="1:14" s="50" customFormat="1" ht="11.25" x14ac:dyDescent="0.2">
      <c r="A106" s="58" t="s">
        <v>148</v>
      </c>
      <c r="B106" s="47"/>
      <c r="C106" s="47"/>
      <c r="D106" s="47"/>
      <c r="E106" s="47"/>
      <c r="F106" s="48"/>
      <c r="G106" s="48"/>
      <c r="H106" s="48"/>
      <c r="I106" s="48"/>
      <c r="J106" s="48"/>
      <c r="K106" s="48"/>
      <c r="L106" s="48"/>
      <c r="M106" s="94"/>
      <c r="N106" s="49"/>
    </row>
    <row r="107" spans="1:14" s="50" customFormat="1" ht="11.25" x14ac:dyDescent="0.2">
      <c r="A107" s="58" t="s">
        <v>149</v>
      </c>
      <c r="B107" s="47"/>
      <c r="C107" s="47"/>
      <c r="D107" s="47"/>
      <c r="E107" s="47"/>
      <c r="F107" s="47"/>
      <c r="G107" s="51"/>
      <c r="H107" s="51"/>
      <c r="I107" s="51"/>
      <c r="J107" s="51"/>
      <c r="K107" s="51"/>
      <c r="L107" s="51"/>
      <c r="M107" s="52"/>
      <c r="N107" s="53"/>
    </row>
    <row r="108" spans="1:14" ht="34.5" thickBot="1" x14ac:dyDescent="0.25">
      <c r="A108" s="43" t="s">
        <v>107</v>
      </c>
      <c r="B108" s="44"/>
      <c r="C108" s="45"/>
      <c r="D108" s="45"/>
      <c r="E108" s="45"/>
      <c r="F108" s="45"/>
      <c r="G108" s="32" t="s">
        <v>37</v>
      </c>
      <c r="H108" s="32" t="s">
        <v>38</v>
      </c>
      <c r="I108" s="32" t="s">
        <v>39</v>
      </c>
      <c r="J108" s="32" t="s">
        <v>40</v>
      </c>
      <c r="K108" s="32" t="s">
        <v>41</v>
      </c>
      <c r="L108" s="32" t="s">
        <v>42</v>
      </c>
      <c r="M108" s="40" t="s">
        <v>43</v>
      </c>
      <c r="N108" s="41" t="s">
        <v>44</v>
      </c>
    </row>
    <row r="109" spans="1:14" ht="13.5" thickBot="1" x14ac:dyDescent="0.25">
      <c r="A109" s="248" t="s">
        <v>150</v>
      </c>
      <c r="B109" s="249"/>
      <c r="C109" s="250"/>
      <c r="D109" s="224"/>
      <c r="E109" s="251" t="s">
        <v>151</v>
      </c>
      <c r="F109" s="252">
        <f>IFERROR(H111/H113,"N/A")</f>
        <v>0.10582396223795641</v>
      </c>
      <c r="G109" s="318">
        <v>68317.3</v>
      </c>
      <c r="H109" s="318">
        <v>36588</v>
      </c>
      <c r="I109" s="241">
        <f>G109-H109</f>
        <v>31729.300000000003</v>
      </c>
      <c r="J109" s="329">
        <f>Worksheet!J107</f>
        <v>18294</v>
      </c>
      <c r="K109" s="330">
        <f>36588-J109</f>
        <v>18294</v>
      </c>
      <c r="L109" s="117">
        <f>SUM(J109:K109)</f>
        <v>36588</v>
      </c>
      <c r="M109" s="31">
        <f>IFERROR(L109/H109,"N/A")</f>
        <v>1</v>
      </c>
      <c r="N109" s="340">
        <f>Worksheet!N107</f>
        <v>63452</v>
      </c>
    </row>
    <row r="110" spans="1:14" ht="13.5" thickBot="1" x14ac:dyDescent="0.25">
      <c r="A110" s="253"/>
      <c r="B110" s="249"/>
      <c r="C110" s="254"/>
      <c r="D110" s="224"/>
      <c r="E110" s="251" t="s">
        <v>151</v>
      </c>
      <c r="F110" s="252" t="str">
        <f>IFERROR(H112/H114,"N/A")</f>
        <v>N/A</v>
      </c>
      <c r="G110" s="318">
        <v>0</v>
      </c>
      <c r="H110" s="318">
        <v>0</v>
      </c>
      <c r="I110" s="241">
        <f t="shared" ref="I110" si="50">G110-H110</f>
        <v>0</v>
      </c>
      <c r="J110" s="330">
        <v>0</v>
      </c>
      <c r="K110" s="330">
        <v>0</v>
      </c>
      <c r="L110" s="241">
        <f>SUM(J110:K110)</f>
        <v>0</v>
      </c>
      <c r="M110" s="255" t="str">
        <f>IFERROR(L110/H110,"N/A")</f>
        <v>N/A</v>
      </c>
      <c r="N110" s="340">
        <f>Worksheet!N108</f>
        <v>0</v>
      </c>
    </row>
    <row r="111" spans="1:14" ht="13.5" thickBot="1" x14ac:dyDescent="0.25">
      <c r="A111" s="229"/>
      <c r="B111" s="42"/>
      <c r="C111" s="230" t="s">
        <v>152</v>
      </c>
      <c r="D111" s="231"/>
      <c r="E111" s="231"/>
      <c r="F111" s="256"/>
      <c r="G111" s="257">
        <f>SUM(G109:G110)</f>
        <v>68317.3</v>
      </c>
      <c r="H111" s="257">
        <f>SUM(H109:H110)</f>
        <v>36588</v>
      </c>
      <c r="I111" s="257">
        <f>SUM(I109:I110)</f>
        <v>31729.300000000003</v>
      </c>
      <c r="J111" s="257">
        <f t="shared" ref="J111:L111" si="51">SUM(J109:J110)</f>
        <v>18294</v>
      </c>
      <c r="K111" s="257">
        <f t="shared" si="51"/>
        <v>18294</v>
      </c>
      <c r="L111" s="257">
        <f t="shared" si="51"/>
        <v>36588</v>
      </c>
      <c r="M111" s="258">
        <f>IFERROR(L111/H111,"N/A")</f>
        <v>1</v>
      </c>
      <c r="N111" s="259">
        <f>SUM(N109:N110)</f>
        <v>63452</v>
      </c>
    </row>
    <row r="112" spans="1:14" ht="13.5" thickBot="1" x14ac:dyDescent="0.25">
      <c r="A112" s="30"/>
      <c r="B112" s="30"/>
      <c r="C112" s="30"/>
      <c r="D112" s="30"/>
      <c r="E112" s="30"/>
      <c r="F112" s="30"/>
    </row>
    <row r="113" spans="1:14" ht="15.75" thickBot="1" x14ac:dyDescent="0.3">
      <c r="A113" s="6"/>
      <c r="B113" s="4"/>
      <c r="C113" s="5" t="s">
        <v>153</v>
      </c>
      <c r="D113" s="4"/>
      <c r="E113" s="4"/>
      <c r="F113" s="3"/>
      <c r="G113" s="125">
        <f t="shared" ref="G113:L113" si="52">SUM(G111,G102,G94,G86,G63,G53,G41)</f>
        <v>725338.11933333334</v>
      </c>
      <c r="H113" s="125">
        <f t="shared" si="52"/>
        <v>345744</v>
      </c>
      <c r="I113" s="125">
        <f t="shared" si="52"/>
        <v>379594.11933333334</v>
      </c>
      <c r="J113" s="125">
        <f t="shared" si="52"/>
        <v>163795</v>
      </c>
      <c r="K113" s="125">
        <f t="shared" si="52"/>
        <v>181949</v>
      </c>
      <c r="L113" s="125">
        <f t="shared" si="52"/>
        <v>345744</v>
      </c>
      <c r="M113" s="2">
        <f>IFERROR(L113/H113,"N/A")</f>
        <v>1</v>
      </c>
      <c r="N113" s="126">
        <f>SUM(N111,N102,N94,N86,N63,N53,N41)</f>
        <v>771462</v>
      </c>
    </row>
    <row r="114" spans="1:14" ht="15" customHeight="1" thickBot="1" x14ac:dyDescent="0.25">
      <c r="A114" s="30"/>
      <c r="B114" s="30"/>
      <c r="C114" s="30"/>
      <c r="D114" s="30"/>
      <c r="E114" s="30"/>
      <c r="F114" s="30"/>
    </row>
    <row r="115" spans="1:14" s="322" customFormat="1" ht="15" x14ac:dyDescent="0.25">
      <c r="A115" s="139" t="s">
        <v>24</v>
      </c>
      <c r="B115" s="11"/>
      <c r="C115" s="11"/>
      <c r="D115" s="11"/>
      <c r="E115" s="11"/>
      <c r="F115" s="11"/>
      <c r="G115" s="11"/>
      <c r="H115" s="11"/>
      <c r="I115" s="11"/>
      <c r="J115" s="11"/>
      <c r="K115" s="11"/>
      <c r="L115" s="11"/>
      <c r="M115" s="11"/>
      <c r="N115" s="140"/>
    </row>
    <row r="116" spans="1:14" s="322" customFormat="1" ht="14.25" x14ac:dyDescent="0.2">
      <c r="A116" s="143" t="s">
        <v>154</v>
      </c>
      <c r="B116" s="144"/>
      <c r="C116" s="144"/>
      <c r="D116" s="144"/>
      <c r="E116" s="144"/>
      <c r="F116" s="144"/>
      <c r="G116" s="144"/>
      <c r="H116" s="144"/>
      <c r="I116" s="144"/>
      <c r="J116" s="144"/>
      <c r="K116" s="144"/>
      <c r="L116" s="144"/>
      <c r="M116" s="144"/>
      <c r="N116" s="145"/>
    </row>
    <row r="117" spans="1:14" s="322" customFormat="1" ht="15" x14ac:dyDescent="0.25">
      <c r="A117" s="143" t="s">
        <v>155</v>
      </c>
      <c r="B117" s="144"/>
      <c r="C117" s="144"/>
      <c r="D117" s="144"/>
      <c r="E117" s="144"/>
      <c r="F117" s="144"/>
      <c r="G117" s="144"/>
      <c r="H117" s="144"/>
      <c r="I117" s="144"/>
      <c r="J117" s="144"/>
      <c r="K117" s="144"/>
      <c r="L117" s="144"/>
      <c r="M117" s="144"/>
      <c r="N117" s="145"/>
    </row>
    <row r="118" spans="1:14" s="322" customFormat="1" ht="15" x14ac:dyDescent="0.25">
      <c r="A118" s="143" t="s">
        <v>156</v>
      </c>
      <c r="B118" s="144"/>
      <c r="C118" s="144"/>
      <c r="D118" s="144"/>
      <c r="E118" s="144"/>
      <c r="F118" s="144"/>
      <c r="G118" s="144"/>
      <c r="H118" s="144"/>
      <c r="I118" s="144"/>
      <c r="J118" s="144"/>
      <c r="K118" s="144"/>
      <c r="L118" s="144"/>
      <c r="M118" s="144"/>
      <c r="N118" s="145"/>
    </row>
    <row r="119" spans="1:14" s="322" customFormat="1" ht="45" customHeight="1" x14ac:dyDescent="0.2">
      <c r="A119" s="146" t="s">
        <v>157</v>
      </c>
      <c r="B119" s="147"/>
      <c r="C119" s="147" t="s">
        <v>107</v>
      </c>
      <c r="I119" s="148" t="s">
        <v>158</v>
      </c>
      <c r="J119" s="148" t="s">
        <v>159</v>
      </c>
      <c r="K119" s="148" t="s">
        <v>160</v>
      </c>
      <c r="L119" s="148" t="s">
        <v>161</v>
      </c>
      <c r="M119" s="106" t="s">
        <v>162</v>
      </c>
      <c r="N119" s="149" t="s">
        <v>163</v>
      </c>
    </row>
    <row r="120" spans="1:14" s="322" customFormat="1" ht="15" customHeight="1" x14ac:dyDescent="0.2">
      <c r="A120" s="150" t="s">
        <v>164</v>
      </c>
      <c r="B120" s="151"/>
      <c r="C120" s="151"/>
      <c r="I120" s="152"/>
      <c r="J120" s="152"/>
      <c r="K120" s="152"/>
      <c r="L120" s="152"/>
      <c r="M120" s="25"/>
      <c r="N120" s="98"/>
    </row>
    <row r="121" spans="1:14" s="322" customFormat="1" ht="15" customHeight="1" x14ac:dyDescent="0.2">
      <c r="A121" s="260" t="s">
        <v>165</v>
      </c>
      <c r="B121" s="261" t="s">
        <v>166</v>
      </c>
      <c r="C121" s="261" t="s">
        <v>61</v>
      </c>
      <c r="I121" s="204">
        <v>168000</v>
      </c>
      <c r="J121" s="331">
        <f>Worksheet!J119</f>
        <v>162899</v>
      </c>
      <c r="K121" s="331">
        <v>0</v>
      </c>
      <c r="L121" s="262">
        <f t="shared" ref="L121:L122" si="53">SUM(J121:K121)</f>
        <v>162899</v>
      </c>
      <c r="M121" s="25"/>
      <c r="N121" s="98"/>
    </row>
    <row r="122" spans="1:14" s="322" customFormat="1" ht="15" customHeight="1" x14ac:dyDescent="0.2">
      <c r="A122" s="260" t="s">
        <v>165</v>
      </c>
      <c r="B122" s="261" t="s">
        <v>167</v>
      </c>
      <c r="C122" s="261" t="s">
        <v>61</v>
      </c>
      <c r="I122" s="204">
        <f>336584-168000-1272</f>
        <v>167312</v>
      </c>
      <c r="J122" s="331">
        <f>Worksheet!J120</f>
        <v>161808</v>
      </c>
      <c r="K122" s="331">
        <v>0</v>
      </c>
      <c r="L122" s="262">
        <f t="shared" si="53"/>
        <v>161808</v>
      </c>
      <c r="M122" s="25"/>
      <c r="N122" s="98"/>
    </row>
    <row r="123" spans="1:14" s="322" customFormat="1" x14ac:dyDescent="0.2">
      <c r="A123" s="153" t="s">
        <v>168</v>
      </c>
      <c r="B123" s="151"/>
      <c r="I123" s="152"/>
      <c r="J123" s="152"/>
      <c r="K123" s="152"/>
      <c r="L123" s="152"/>
      <c r="M123" s="25"/>
      <c r="N123" s="98"/>
    </row>
    <row r="124" spans="1:14" s="322" customFormat="1" ht="15" customHeight="1" x14ac:dyDescent="0.2">
      <c r="A124" s="260"/>
      <c r="B124" s="261"/>
      <c r="I124" s="204">
        <v>0</v>
      </c>
      <c r="J124" s="331">
        <f>Worksheet!J122</f>
        <v>0</v>
      </c>
      <c r="K124" s="331">
        <v>0</v>
      </c>
      <c r="L124" s="262">
        <f t="shared" ref="L124:L134" si="54">SUM(J124:K124)</f>
        <v>0</v>
      </c>
      <c r="M124" s="25"/>
      <c r="N124" s="98"/>
    </row>
    <row r="125" spans="1:14" s="322" customFormat="1" ht="15" customHeight="1" x14ac:dyDescent="0.2">
      <c r="A125" s="260"/>
      <c r="B125" s="261"/>
      <c r="I125" s="204">
        <v>0</v>
      </c>
      <c r="J125" s="331">
        <f>Worksheet!J123</f>
        <v>6646</v>
      </c>
      <c r="K125" s="331">
        <v>0</v>
      </c>
      <c r="L125" s="262">
        <f t="shared" si="54"/>
        <v>6646</v>
      </c>
      <c r="M125" s="25"/>
      <c r="N125" s="98"/>
    </row>
    <row r="126" spans="1:14" s="322" customFormat="1" x14ac:dyDescent="0.2">
      <c r="A126" s="153" t="s">
        <v>171</v>
      </c>
      <c r="B126" s="151"/>
      <c r="I126" s="152"/>
      <c r="J126" s="152"/>
      <c r="K126" s="152"/>
      <c r="L126" s="152"/>
      <c r="M126" s="25"/>
      <c r="N126" s="98"/>
    </row>
    <row r="127" spans="1:14" s="322" customFormat="1" ht="15" customHeight="1" x14ac:dyDescent="0.2">
      <c r="A127" s="260"/>
      <c r="B127" s="261"/>
      <c r="I127" s="204">
        <v>0</v>
      </c>
      <c r="J127" s="331">
        <f>Worksheet!J125</f>
        <v>0</v>
      </c>
      <c r="K127" s="331">
        <v>0</v>
      </c>
      <c r="L127" s="262">
        <f t="shared" ref="L127:L128" si="55">SUM(J127:K127)</f>
        <v>0</v>
      </c>
      <c r="M127" s="25"/>
      <c r="N127" s="98"/>
    </row>
    <row r="128" spans="1:14" s="322" customFormat="1" ht="15" customHeight="1" x14ac:dyDescent="0.2">
      <c r="A128" s="260"/>
      <c r="B128" s="261"/>
      <c r="I128" s="204">
        <v>0</v>
      </c>
      <c r="J128" s="331">
        <f>Worksheet!J126</f>
        <v>0</v>
      </c>
      <c r="K128" s="331">
        <v>0</v>
      </c>
      <c r="L128" s="262">
        <f t="shared" si="55"/>
        <v>0</v>
      </c>
      <c r="M128" s="25"/>
      <c r="N128" s="98"/>
    </row>
    <row r="129" spans="1:14" s="322" customFormat="1" x14ac:dyDescent="0.2">
      <c r="A129" s="153" t="s">
        <v>172</v>
      </c>
      <c r="B129" s="151"/>
      <c r="I129" s="152"/>
      <c r="J129" s="152"/>
      <c r="K129" s="152"/>
      <c r="L129" s="152"/>
      <c r="M129" s="60"/>
      <c r="N129" s="99"/>
    </row>
    <row r="130" spans="1:14" s="322" customFormat="1" ht="15" customHeight="1" x14ac:dyDescent="0.2">
      <c r="A130" s="260"/>
      <c r="B130" s="261"/>
      <c r="I130" s="204">
        <v>0</v>
      </c>
      <c r="J130" s="331">
        <f>Worksheet!J128</f>
        <v>0</v>
      </c>
      <c r="K130" s="331">
        <v>0</v>
      </c>
      <c r="L130" s="262">
        <f t="shared" ref="L130:L131" si="56">SUM(J130:K130)</f>
        <v>0</v>
      </c>
      <c r="M130" s="25"/>
      <c r="N130" s="98"/>
    </row>
    <row r="131" spans="1:14" s="322" customFormat="1" ht="15" customHeight="1" x14ac:dyDescent="0.2">
      <c r="A131" s="260"/>
      <c r="B131" s="261"/>
      <c r="I131" s="204">
        <v>0</v>
      </c>
      <c r="J131" s="331">
        <f>Worksheet!J129</f>
        <v>0</v>
      </c>
      <c r="K131" s="331">
        <v>0</v>
      </c>
      <c r="L131" s="262">
        <f t="shared" si="56"/>
        <v>0</v>
      </c>
      <c r="M131" s="25"/>
      <c r="N131" s="98"/>
    </row>
    <row r="132" spans="1:14" s="322" customFormat="1" x14ac:dyDescent="0.2">
      <c r="A132" s="153" t="s">
        <v>173</v>
      </c>
      <c r="B132" s="151"/>
      <c r="I132" s="152"/>
      <c r="J132" s="152"/>
      <c r="K132" s="152"/>
      <c r="L132" s="152"/>
      <c r="M132" s="60"/>
      <c r="N132" s="99"/>
    </row>
    <row r="133" spans="1:14" s="322" customFormat="1" ht="15" customHeight="1" x14ac:dyDescent="0.2">
      <c r="A133" s="260" t="s">
        <v>174</v>
      </c>
      <c r="B133" s="261"/>
      <c r="I133" s="204">
        <v>0</v>
      </c>
      <c r="J133" s="331">
        <f>Worksheet!J131</f>
        <v>90925</v>
      </c>
      <c r="K133" s="331">
        <v>0</v>
      </c>
      <c r="L133" s="262">
        <f t="shared" si="54"/>
        <v>90925</v>
      </c>
      <c r="M133" s="25"/>
      <c r="N133" s="98"/>
    </row>
    <row r="134" spans="1:14" s="322" customFormat="1" ht="15" customHeight="1" x14ac:dyDescent="0.2">
      <c r="A134" s="260"/>
      <c r="B134" s="261"/>
      <c r="I134" s="204">
        <v>0</v>
      </c>
      <c r="J134" s="331">
        <f>Worksheet!J132</f>
        <v>3440</v>
      </c>
      <c r="K134" s="331">
        <v>0</v>
      </c>
      <c r="L134" s="262">
        <f t="shared" si="54"/>
        <v>3440</v>
      </c>
      <c r="M134" s="25"/>
      <c r="N134" s="98"/>
    </row>
    <row r="135" spans="1:14" s="322" customFormat="1" x14ac:dyDescent="0.2">
      <c r="A135" s="150" t="s">
        <v>175</v>
      </c>
      <c r="B135" s="151"/>
      <c r="I135" s="152"/>
      <c r="J135" s="152"/>
      <c r="K135" s="152"/>
      <c r="L135" s="152"/>
      <c r="M135" s="60"/>
      <c r="N135" s="99"/>
    </row>
    <row r="136" spans="1:14" s="322" customFormat="1" ht="15" customHeight="1" x14ac:dyDescent="0.2">
      <c r="A136" s="260"/>
      <c r="B136" s="261"/>
      <c r="I136" s="204">
        <v>0</v>
      </c>
      <c r="J136" s="331">
        <f>Worksheet!J134</f>
        <v>0</v>
      </c>
      <c r="K136" s="331">
        <v>0</v>
      </c>
      <c r="L136" s="262">
        <f t="shared" ref="L136:L137" si="57">SUM(J136:K136)</f>
        <v>0</v>
      </c>
      <c r="M136" s="25"/>
      <c r="N136" s="98"/>
    </row>
    <row r="137" spans="1:14" s="322" customFormat="1" ht="15" customHeight="1" x14ac:dyDescent="0.2">
      <c r="A137" s="260"/>
      <c r="B137" s="261"/>
      <c r="I137" s="204">
        <v>0</v>
      </c>
      <c r="J137" s="331">
        <f>Worksheet!J135</f>
        <v>0</v>
      </c>
      <c r="K137" s="331">
        <v>0</v>
      </c>
      <c r="L137" s="262">
        <f t="shared" si="57"/>
        <v>0</v>
      </c>
      <c r="M137" s="25"/>
      <c r="N137" s="98"/>
    </row>
    <row r="138" spans="1:14" s="322" customFormat="1" ht="15.75" thickBot="1" x14ac:dyDescent="0.3">
      <c r="A138" s="154" t="s">
        <v>176</v>
      </c>
      <c r="B138" s="137"/>
      <c r="C138" s="137"/>
      <c r="D138" s="263" t="s">
        <v>177</v>
      </c>
      <c r="E138" s="264"/>
      <c r="F138" s="264"/>
      <c r="G138" s="264"/>
      <c r="H138" s="264"/>
      <c r="I138" s="265">
        <f>SUM(I120:I137)</f>
        <v>335312</v>
      </c>
      <c r="J138" s="265">
        <f t="shared" ref="J138:L138" si="58">SUM(J120:J137)</f>
        <v>425718</v>
      </c>
      <c r="K138" s="265">
        <f t="shared" si="58"/>
        <v>0</v>
      </c>
      <c r="L138" s="265">
        <f t="shared" si="58"/>
        <v>425718</v>
      </c>
      <c r="M138" s="266">
        <f>N13-L13</f>
        <v>425718</v>
      </c>
      <c r="N138" s="267">
        <f>IFERROR(L138-M138,"N/A")</f>
        <v>0</v>
      </c>
    </row>
    <row r="139" spans="1:14" s="322" customFormat="1" ht="13.5" thickBot="1" x14ac:dyDescent="0.25">
      <c r="A139" s="155"/>
      <c r="F139" s="70"/>
      <c r="M139" s="21"/>
      <c r="N139" s="20"/>
    </row>
    <row r="140" spans="1:14" s="322" customFormat="1" x14ac:dyDescent="0.2">
      <c r="A140" s="156" t="s">
        <v>178</v>
      </c>
      <c r="B140" s="157"/>
      <c r="C140" s="157"/>
      <c r="D140" s="157"/>
      <c r="E140" s="157"/>
      <c r="F140" s="158"/>
      <c r="G140" s="158"/>
      <c r="H140" s="158"/>
      <c r="I140" s="158"/>
      <c r="J140" s="158"/>
      <c r="K140" s="158"/>
      <c r="L140" s="158"/>
      <c r="M140" s="29"/>
      <c r="N140" s="28"/>
    </row>
    <row r="141" spans="1:14" s="322" customFormat="1" ht="13.5" thickBot="1" x14ac:dyDescent="0.25">
      <c r="A141" s="159" t="s">
        <v>179</v>
      </c>
      <c r="B141" s="160"/>
      <c r="C141" s="160"/>
      <c r="D141" s="160"/>
      <c r="E141" s="160"/>
      <c r="F141" s="161"/>
      <c r="G141" s="161"/>
      <c r="H141" s="161"/>
      <c r="I141" s="161"/>
      <c r="J141" s="161"/>
      <c r="K141" s="161"/>
      <c r="L141" s="161"/>
      <c r="M141" s="24"/>
      <c r="N141" s="23"/>
    </row>
  </sheetData>
  <sheetProtection algorithmName="SHA-512" hashValue="Kj6K26oEFgRNCZ54lCero/rOwOnTW9oMp/ggFf3avQZV9zWVak10Ya4n0oxyKJ+qBDR2SFwqPddKTiPKnmfsnQ==" saltValue="XvBqMkwz8lMaV/IIoevF4g==" spinCount="100000" sheet="1" objects="1" scenarios="1"/>
  <conditionalFormatting sqref="B129 B132 B135">
    <cfRule type="containsText" dxfId="22" priority="40" operator="containsText" text="VARIANCE">
      <formula>NOT(ISERROR(SEARCH("VARIANCE",B129)))</formula>
    </cfRule>
  </conditionalFormatting>
  <conditionalFormatting sqref="B120 B123 B126">
    <cfRule type="containsText" dxfId="21" priority="39" operator="containsText" text="VARIANCE">
      <formula>NOT(ISERROR(SEARCH("VARIANCE",B120)))</formula>
    </cfRule>
  </conditionalFormatting>
  <conditionalFormatting sqref="B121">
    <cfRule type="containsText" dxfId="20" priority="38" operator="containsText" text="VARIANCE">
      <formula>NOT(ISERROR(SEARCH("VARIANCE",B121)))</formula>
    </cfRule>
  </conditionalFormatting>
  <conditionalFormatting sqref="B122">
    <cfRule type="containsText" dxfId="19" priority="37" operator="containsText" text="VARIANCE">
      <formula>NOT(ISERROR(SEARCH("VARIANCE",B122)))</formula>
    </cfRule>
  </conditionalFormatting>
  <conditionalFormatting sqref="B124">
    <cfRule type="containsText" dxfId="18" priority="36" operator="containsText" text="VARIANCE">
      <formula>NOT(ISERROR(SEARCH("VARIANCE",B124)))</formula>
    </cfRule>
  </conditionalFormatting>
  <conditionalFormatting sqref="B125">
    <cfRule type="containsText" dxfId="17" priority="35" operator="containsText" text="VARIANCE">
      <formula>NOT(ISERROR(SEARCH("VARIANCE",B125)))</formula>
    </cfRule>
  </conditionalFormatting>
  <conditionalFormatting sqref="B127">
    <cfRule type="containsText" dxfId="16" priority="34" operator="containsText" text="VARIANCE">
      <formula>NOT(ISERROR(SEARCH("VARIANCE",B127)))</formula>
    </cfRule>
  </conditionalFormatting>
  <conditionalFormatting sqref="B128">
    <cfRule type="containsText" dxfId="15" priority="33" operator="containsText" text="VARIANCE">
      <formula>NOT(ISERROR(SEARCH("VARIANCE",B128)))</formula>
    </cfRule>
  </conditionalFormatting>
  <conditionalFormatting sqref="B130">
    <cfRule type="containsText" dxfId="14" priority="32" operator="containsText" text="VARIANCE">
      <formula>NOT(ISERROR(SEARCH("VARIANCE",B130)))</formula>
    </cfRule>
  </conditionalFormatting>
  <conditionalFormatting sqref="B131">
    <cfRule type="containsText" dxfId="13" priority="31" operator="containsText" text="VARIANCE">
      <formula>NOT(ISERROR(SEARCH("VARIANCE",B131)))</formula>
    </cfRule>
  </conditionalFormatting>
  <conditionalFormatting sqref="B133">
    <cfRule type="containsText" dxfId="12" priority="30" operator="containsText" text="VARIANCE">
      <formula>NOT(ISERROR(SEARCH("VARIANCE",B133)))</formula>
    </cfRule>
  </conditionalFormatting>
  <conditionalFormatting sqref="B134">
    <cfRule type="containsText" dxfId="11" priority="29" operator="containsText" text="VARIANCE">
      <formula>NOT(ISERROR(SEARCH("VARIANCE",B134)))</formula>
    </cfRule>
  </conditionalFormatting>
  <conditionalFormatting sqref="B136">
    <cfRule type="containsText" dxfId="10" priority="28" operator="containsText" text="VARIANCE">
      <formula>NOT(ISERROR(SEARCH("VARIANCE",B136)))</formula>
    </cfRule>
  </conditionalFormatting>
  <conditionalFormatting sqref="B137">
    <cfRule type="containsText" dxfId="9" priority="27" operator="containsText" text="VARIANCE">
      <formula>NOT(ISERROR(SEARCH("VARIANCE",B137)))</formula>
    </cfRule>
  </conditionalFormatting>
  <conditionalFormatting sqref="I120:L120">
    <cfRule type="containsText" dxfId="8" priority="26" operator="containsText" text="VARIANCE">
      <formula>NOT(ISERROR(SEARCH("VARIANCE",I120)))</formula>
    </cfRule>
  </conditionalFormatting>
  <conditionalFormatting sqref="I123:L123">
    <cfRule type="containsText" dxfId="7" priority="25" operator="containsText" text="VARIANCE">
      <formula>NOT(ISERROR(SEARCH("VARIANCE",I123)))</formula>
    </cfRule>
  </conditionalFormatting>
  <conditionalFormatting sqref="I126:L126">
    <cfRule type="containsText" dxfId="6" priority="24" operator="containsText" text="VARIANCE">
      <formula>NOT(ISERROR(SEARCH("VARIANCE",I126)))</formula>
    </cfRule>
  </conditionalFormatting>
  <conditionalFormatting sqref="I129:L129">
    <cfRule type="containsText" dxfId="5" priority="23" operator="containsText" text="VARIANCE">
      <formula>NOT(ISERROR(SEARCH("VARIANCE",I129)))</formula>
    </cfRule>
  </conditionalFormatting>
  <conditionalFormatting sqref="I132:L132">
    <cfRule type="containsText" dxfId="4" priority="22" operator="containsText" text="VARIANCE">
      <formula>NOT(ISERROR(SEARCH("VARIANCE",I132)))</formula>
    </cfRule>
  </conditionalFormatting>
  <conditionalFormatting sqref="I135:L135">
    <cfRule type="containsText" dxfId="3" priority="21" operator="containsText" text="VARIANCE">
      <formula>NOT(ISERROR(SEARCH("VARIANCE",I135)))</formula>
    </cfRule>
  </conditionalFormatting>
  <conditionalFormatting sqref="C120">
    <cfRule type="containsText" dxfId="2" priority="14" operator="containsText" text="VARIANCE">
      <formula>NOT(ISERROR(SEARCH("VARIANCE",C120)))</formula>
    </cfRule>
  </conditionalFormatting>
  <conditionalFormatting sqref="C121">
    <cfRule type="containsText" dxfId="1" priority="13" operator="containsText" text="VARIANCE">
      <formula>NOT(ISERROR(SEARCH("VARIANCE",C121)))</formula>
    </cfRule>
  </conditionalFormatting>
  <conditionalFormatting sqref="C122">
    <cfRule type="containsText" dxfId="0" priority="12" operator="containsText" text="VARIANCE">
      <formula>NOT(ISERROR(SEARCH("VARIANCE",C122)))</formula>
    </cfRule>
  </conditionalFormatting>
  <dataValidations count="6">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09:F110" xr:uid="{00000000-0002-0000-02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13 M18:M20" xr:uid="{00000000-0002-0000-0200-000001000000}">
      <formula1>0.9</formula1>
      <formula2>1.1</formula2>
    </dataValidation>
    <dataValidation type="list" allowBlank="1" showInputMessage="1" showErrorMessage="1" sqref="B10" xr:uid="{00000000-0002-0000-0200-000002000000}">
      <formula1>$A$19:$A$21</formula1>
    </dataValidation>
    <dataValidation type="list" allowBlank="1" showInputMessage="1" showErrorMessage="1" sqref="C121:C122" xr:uid="{00000000-0002-0000-0200-000003000000}">
      <formula1>$F$19:$F$21</formula1>
    </dataValidation>
    <dataValidation type="decimal" errorStyle="warning" allowBlank="1" showInputMessage="1" showErrorMessage="1" errorTitle="VARIANCE REPORT REQUIRED" error="Percentages below 90% or above 110% require an explanation in the VARIANCE REPORT/NOTES column." sqref="M27:M40" xr:uid="{00000000-0002-0000-0200-000004000000}">
      <formula1>0.9</formula1>
      <formula2>1.1</formula2>
    </dataValidation>
    <dataValidation type="list" allowBlank="1" showInputMessage="1" showErrorMessage="1" sqref="C27:C40" xr:uid="{00000000-0002-0000-0200-000005000000}">
      <formula1>$C$19:$C$21</formula1>
    </dataValidation>
  </dataValidations>
  <pageMargins left="0.45" right="0.45" top="0.5" bottom="0.5" header="0.3" footer="0.3"/>
  <pageSetup scale="49" fitToHeight="5" orientation="landscape" r:id="rId1"/>
  <headerFooter>
    <oddFooter>&amp;LCity of Santa Monica
Exhibit C3 – Program Budget&amp;C&amp;P&amp;RFiscal Year 2021-22
Human Services Grants Program</oddFooter>
  </headerFooter>
  <rowBreaks count="1" manualBreakCount="1">
    <brk id="63" max="13" man="1"/>
  </rowBreaks>
  <ignoredErrors>
    <ignoredError sqref="M6 M10:M11 M7:M9 M12:M13" formula="1"/>
    <ignoredError sqref="L121:L137"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M50"/>
  <sheetViews>
    <sheetView zoomScale="80" zoomScaleNormal="80" workbookViewId="0">
      <selection activeCell="I1" sqref="I1"/>
    </sheetView>
  </sheetViews>
  <sheetFormatPr defaultColWidth="8.85546875" defaultRowHeight="12.75" x14ac:dyDescent="0.2"/>
  <cols>
    <col min="1" max="1" width="53.7109375" style="291" customWidth="1"/>
    <col min="2" max="5" width="17.28515625" style="292" customWidth="1"/>
    <col min="6" max="8" width="17.28515625" style="272" customWidth="1"/>
    <col min="9" max="9" width="17.140625" style="273" customWidth="1"/>
    <col min="10" max="16384" width="8.85546875" style="273"/>
  </cols>
  <sheetData>
    <row r="1" spans="1:9" ht="18" x14ac:dyDescent="0.2">
      <c r="A1" s="268" t="s">
        <v>34</v>
      </c>
      <c r="B1" s="269"/>
      <c r="C1" s="270"/>
      <c r="D1" s="270"/>
      <c r="E1" s="270"/>
      <c r="F1" s="271"/>
      <c r="I1" s="371"/>
    </row>
    <row r="2" spans="1:9" ht="18" x14ac:dyDescent="0.2">
      <c r="A2" s="268" t="s">
        <v>183</v>
      </c>
      <c r="B2" s="274"/>
      <c r="C2" s="274"/>
      <c r="D2" s="275"/>
      <c r="E2" s="275"/>
      <c r="F2" s="274"/>
      <c r="G2" s="274"/>
      <c r="H2" s="274"/>
    </row>
    <row r="3" spans="1:9" ht="9.75" customHeight="1" x14ac:dyDescent="0.2">
      <c r="A3" s="268"/>
      <c r="B3" s="274"/>
      <c r="C3" s="274"/>
      <c r="D3" s="275"/>
      <c r="E3" s="275"/>
      <c r="F3" s="274"/>
      <c r="G3" s="274"/>
      <c r="H3" s="274"/>
    </row>
    <row r="4" spans="1:9" x14ac:dyDescent="0.2">
      <c r="A4" s="276"/>
      <c r="B4" s="269"/>
      <c r="C4" s="270"/>
      <c r="D4" s="270"/>
      <c r="E4" s="270"/>
      <c r="F4" s="271"/>
    </row>
    <row r="5" spans="1:9" s="280" customFormat="1" ht="45" x14ac:dyDescent="0.2">
      <c r="A5" s="277" t="s">
        <v>184</v>
      </c>
      <c r="B5" s="278" t="s">
        <v>185</v>
      </c>
      <c r="C5" s="278" t="s">
        <v>186</v>
      </c>
      <c r="D5" s="278" t="s">
        <v>187</v>
      </c>
      <c r="E5" s="279"/>
      <c r="G5" s="279"/>
      <c r="H5" s="279"/>
    </row>
    <row r="6" spans="1:9" s="280" customFormat="1" ht="14.25" x14ac:dyDescent="0.2">
      <c r="A6" s="281" t="s">
        <v>188</v>
      </c>
      <c r="B6" s="282">
        <v>375</v>
      </c>
      <c r="C6" s="332">
        <v>283</v>
      </c>
      <c r="D6" s="332">
        <v>422</v>
      </c>
      <c r="E6" s="279"/>
      <c r="G6" s="279"/>
      <c r="H6" s="279"/>
    </row>
    <row r="7" spans="1:9" s="280" customFormat="1" ht="14.25" x14ac:dyDescent="0.2">
      <c r="A7" s="281" t="s">
        <v>189</v>
      </c>
      <c r="B7" s="282">
        <v>290</v>
      </c>
      <c r="C7" s="332">
        <v>238</v>
      </c>
      <c r="D7" s="332">
        <v>314</v>
      </c>
      <c r="E7" s="279"/>
      <c r="G7" s="279"/>
      <c r="H7" s="279"/>
    </row>
    <row r="8" spans="1:9" s="280" customFormat="1" ht="14.25" x14ac:dyDescent="0.2">
      <c r="A8" s="281" t="s">
        <v>190</v>
      </c>
      <c r="B8" s="282">
        <v>215</v>
      </c>
      <c r="C8" s="332">
        <v>184</v>
      </c>
      <c r="D8" s="332">
        <v>266</v>
      </c>
      <c r="E8" s="279"/>
      <c r="G8" s="279"/>
      <c r="H8" s="279"/>
    </row>
    <row r="9" spans="1:9" s="280" customFormat="1" ht="14.25" x14ac:dyDescent="0.2">
      <c r="A9" s="281" t="s">
        <v>191</v>
      </c>
      <c r="B9" s="282">
        <v>0</v>
      </c>
      <c r="C9" s="332">
        <v>0</v>
      </c>
      <c r="D9" s="332">
        <v>0</v>
      </c>
      <c r="E9" s="279"/>
      <c r="G9" s="279"/>
      <c r="H9" s="279"/>
    </row>
    <row r="10" spans="1:9" s="280" customFormat="1" ht="14.25" x14ac:dyDescent="0.2">
      <c r="A10" s="281" t="s">
        <v>192</v>
      </c>
      <c r="B10" s="282">
        <v>180</v>
      </c>
      <c r="C10" s="332">
        <v>109</v>
      </c>
      <c r="D10" s="332">
        <v>231</v>
      </c>
      <c r="E10" s="279"/>
      <c r="G10" s="279"/>
      <c r="H10" s="279"/>
    </row>
    <row r="11" spans="1:9" s="280" customFormat="1" ht="14.25" x14ac:dyDescent="0.2">
      <c r="A11" s="281" t="s">
        <v>193</v>
      </c>
      <c r="B11" s="282">
        <v>20</v>
      </c>
      <c r="C11" s="332">
        <v>9</v>
      </c>
      <c r="D11" s="332">
        <v>31</v>
      </c>
      <c r="E11" s="279"/>
      <c r="G11" s="279"/>
      <c r="H11" s="279"/>
    </row>
    <row r="12" spans="1:9" s="280" customFormat="1" ht="14.25" x14ac:dyDescent="0.2">
      <c r="A12" s="281" t="s">
        <v>194</v>
      </c>
      <c r="B12" s="282">
        <v>75</v>
      </c>
      <c r="C12" s="332">
        <v>65</v>
      </c>
      <c r="D12" s="332">
        <v>108</v>
      </c>
      <c r="E12" s="279"/>
      <c r="G12" s="279"/>
      <c r="H12" s="279"/>
    </row>
    <row r="13" spans="1:9" s="280" customFormat="1" ht="14.25" x14ac:dyDescent="0.2">
      <c r="A13" s="281" t="s">
        <v>195</v>
      </c>
      <c r="B13" s="282">
        <v>30</v>
      </c>
      <c r="C13" s="332">
        <v>30</v>
      </c>
      <c r="D13" s="332">
        <v>58</v>
      </c>
      <c r="E13" s="279"/>
      <c r="G13" s="279"/>
      <c r="H13" s="279"/>
    </row>
    <row r="14" spans="1:9" s="280" customFormat="1" ht="14.25" x14ac:dyDescent="0.2">
      <c r="A14" s="283"/>
      <c r="B14" s="284"/>
      <c r="C14" s="284"/>
      <c r="D14" s="284"/>
      <c r="E14" s="279"/>
      <c r="G14" s="279"/>
      <c r="H14" s="279"/>
    </row>
    <row r="15" spans="1:9" s="280" customFormat="1" ht="30" x14ac:dyDescent="0.2">
      <c r="A15" s="277" t="s">
        <v>196</v>
      </c>
      <c r="B15" s="278" t="s">
        <v>185</v>
      </c>
      <c r="C15" s="278" t="s">
        <v>186</v>
      </c>
      <c r="D15" s="278" t="s">
        <v>187</v>
      </c>
      <c r="E15" s="279"/>
      <c r="G15" s="279"/>
      <c r="H15" s="279"/>
    </row>
    <row r="16" spans="1:9" s="280" customFormat="1" ht="14.25" x14ac:dyDescent="0.2">
      <c r="A16" s="281" t="s">
        <v>197</v>
      </c>
      <c r="B16" s="282">
        <v>15</v>
      </c>
      <c r="C16" s="332">
        <v>8</v>
      </c>
      <c r="D16" s="332">
        <v>8</v>
      </c>
      <c r="E16" s="279"/>
      <c r="F16" s="369"/>
      <c r="G16" s="279"/>
      <c r="H16" s="279"/>
    </row>
    <row r="17" spans="1:8" s="280" customFormat="1" ht="14.25" x14ac:dyDescent="0.2">
      <c r="A17" s="281" t="s">
        <v>198</v>
      </c>
      <c r="B17" s="282">
        <v>30</v>
      </c>
      <c r="C17" s="332">
        <v>22</v>
      </c>
      <c r="D17" s="332">
        <v>22</v>
      </c>
      <c r="E17" s="279"/>
      <c r="F17" s="369"/>
      <c r="G17" s="279"/>
      <c r="H17" s="279"/>
    </row>
    <row r="18" spans="1:8" s="280" customFormat="1" ht="14.25" x14ac:dyDescent="0.2">
      <c r="A18" s="281" t="s">
        <v>199</v>
      </c>
      <c r="B18" s="282">
        <v>35</v>
      </c>
      <c r="C18" s="332">
        <v>21</v>
      </c>
      <c r="D18" s="332">
        <v>38</v>
      </c>
      <c r="E18" s="279"/>
      <c r="F18" s="369"/>
      <c r="G18" s="279"/>
      <c r="H18" s="279"/>
    </row>
    <row r="19" spans="1:8" s="280" customFormat="1" ht="14.25" x14ac:dyDescent="0.2">
      <c r="A19" s="281" t="s">
        <v>200</v>
      </c>
      <c r="B19" s="282">
        <v>185</v>
      </c>
      <c r="C19" s="332">
        <v>177</v>
      </c>
      <c r="D19" s="332">
        <v>202</v>
      </c>
      <c r="E19" s="279"/>
      <c r="F19" s="369"/>
      <c r="G19" s="279"/>
      <c r="H19" s="279"/>
    </row>
    <row r="20" spans="1:8" s="280" customFormat="1" ht="14.25" x14ac:dyDescent="0.2">
      <c r="A20" s="281" t="s">
        <v>201</v>
      </c>
      <c r="B20" s="282">
        <v>10</v>
      </c>
      <c r="C20" s="332">
        <v>4</v>
      </c>
      <c r="D20" s="332">
        <v>4</v>
      </c>
      <c r="E20" s="279"/>
      <c r="F20" s="369"/>
      <c r="G20" s="279"/>
      <c r="H20" s="279"/>
    </row>
    <row r="21" spans="1:8" s="280" customFormat="1" ht="14.25" x14ac:dyDescent="0.2">
      <c r="A21" s="281" t="s">
        <v>202</v>
      </c>
      <c r="B21" s="282">
        <v>0</v>
      </c>
      <c r="C21" s="332">
        <v>0</v>
      </c>
      <c r="D21" s="332">
        <v>1</v>
      </c>
      <c r="E21" s="279"/>
      <c r="F21" s="369"/>
      <c r="G21" s="279"/>
      <c r="H21" s="279"/>
    </row>
    <row r="22" spans="1:8" s="280" customFormat="1" ht="14.25" x14ac:dyDescent="0.2">
      <c r="A22" s="281" t="s">
        <v>203</v>
      </c>
      <c r="B22" s="282">
        <v>15</v>
      </c>
      <c r="C22" s="332">
        <v>6</v>
      </c>
      <c r="D22" s="332">
        <v>39</v>
      </c>
      <c r="E22" s="279"/>
      <c r="F22" s="369"/>
      <c r="G22" s="279"/>
      <c r="H22" s="279"/>
    </row>
    <row r="23" spans="1:8" s="280" customFormat="1" ht="15" x14ac:dyDescent="0.2">
      <c r="A23" s="285" t="s">
        <v>204</v>
      </c>
      <c r="B23" s="286">
        <f>SUM(B16:B22)</f>
        <v>290</v>
      </c>
      <c r="C23" s="286">
        <f>SUM(C16:C22)</f>
        <v>238</v>
      </c>
      <c r="D23" s="286">
        <f>SUM(D16:D22)</f>
        <v>314</v>
      </c>
      <c r="E23" s="279"/>
      <c r="G23" s="279"/>
      <c r="H23" s="279"/>
    </row>
    <row r="24" spans="1:8" s="280" customFormat="1" ht="14.25" x14ac:dyDescent="0.2">
      <c r="B24" s="284"/>
      <c r="C24" s="284"/>
      <c r="D24" s="284"/>
      <c r="E24" s="279"/>
      <c r="G24" s="279"/>
      <c r="H24" s="279"/>
    </row>
    <row r="25" spans="1:8" s="280" customFormat="1" ht="30" x14ac:dyDescent="0.2">
      <c r="A25" s="277" t="s">
        <v>205</v>
      </c>
      <c r="B25" s="278" t="s">
        <v>185</v>
      </c>
      <c r="C25" s="278" t="s">
        <v>186</v>
      </c>
      <c r="D25" s="278" t="s">
        <v>187</v>
      </c>
      <c r="E25" s="279"/>
      <c r="G25" s="279"/>
      <c r="H25" s="279"/>
    </row>
    <row r="26" spans="1:8" s="280" customFormat="1" ht="14.25" x14ac:dyDescent="0.2">
      <c r="A26" s="281">
        <v>90401</v>
      </c>
      <c r="B26" s="282">
        <v>55</v>
      </c>
      <c r="C26" s="332">
        <v>53</v>
      </c>
      <c r="D26" s="332">
        <v>70</v>
      </c>
      <c r="E26" s="279"/>
      <c r="G26" s="279"/>
      <c r="H26" s="279"/>
    </row>
    <row r="27" spans="1:8" s="280" customFormat="1" ht="14.25" x14ac:dyDescent="0.2">
      <c r="A27" s="281">
        <v>90402</v>
      </c>
      <c r="B27" s="282">
        <v>15</v>
      </c>
      <c r="C27" s="332">
        <v>8</v>
      </c>
      <c r="D27" s="332">
        <v>13</v>
      </c>
      <c r="E27" s="279"/>
      <c r="G27" s="279"/>
      <c r="H27" s="279"/>
    </row>
    <row r="28" spans="1:8" s="280" customFormat="1" ht="14.25" x14ac:dyDescent="0.2">
      <c r="A28" s="281">
        <v>90403</v>
      </c>
      <c r="B28" s="282">
        <v>60</v>
      </c>
      <c r="C28" s="332">
        <v>49</v>
      </c>
      <c r="D28" s="332">
        <v>70</v>
      </c>
      <c r="E28" s="279"/>
      <c r="G28" s="279"/>
      <c r="H28" s="279"/>
    </row>
    <row r="29" spans="1:8" s="280" customFormat="1" ht="14.25" x14ac:dyDescent="0.2">
      <c r="A29" s="281">
        <v>90404</v>
      </c>
      <c r="B29" s="282">
        <v>75</v>
      </c>
      <c r="C29" s="332">
        <v>65</v>
      </c>
      <c r="D29" s="332">
        <v>80</v>
      </c>
      <c r="E29" s="279"/>
      <c r="G29" s="279"/>
      <c r="H29" s="279"/>
    </row>
    <row r="30" spans="1:8" s="280" customFormat="1" ht="14.25" x14ac:dyDescent="0.2">
      <c r="A30" s="281">
        <v>90405</v>
      </c>
      <c r="B30" s="282">
        <v>85</v>
      </c>
      <c r="C30" s="332">
        <v>63</v>
      </c>
      <c r="D30" s="332">
        <v>81</v>
      </c>
      <c r="E30" s="279"/>
      <c r="G30" s="279"/>
      <c r="H30" s="279"/>
    </row>
    <row r="31" spans="1:8" s="280" customFormat="1" ht="14.25" x14ac:dyDescent="0.2">
      <c r="A31" s="281" t="s">
        <v>206</v>
      </c>
      <c r="B31" s="282">
        <v>0</v>
      </c>
      <c r="C31" s="332">
        <v>0</v>
      </c>
      <c r="D31" s="332">
        <v>0</v>
      </c>
      <c r="E31" s="279"/>
      <c r="G31" s="279"/>
      <c r="H31" s="279"/>
    </row>
    <row r="32" spans="1:8" s="280" customFormat="1" ht="15" x14ac:dyDescent="0.2">
      <c r="A32" s="285" t="s">
        <v>204</v>
      </c>
      <c r="B32" s="286">
        <f>SUM(B26:B31)</f>
        <v>290</v>
      </c>
      <c r="C32" s="286">
        <f>SUM(C26:C31)</f>
        <v>238</v>
      </c>
      <c r="D32" s="286">
        <f>SUM(D26:D31)</f>
        <v>314</v>
      </c>
      <c r="E32" s="279"/>
      <c r="G32" s="279"/>
      <c r="H32" s="279"/>
    </row>
    <row r="33" spans="1:13" s="280" customFormat="1" ht="14.25" x14ac:dyDescent="0.2">
      <c r="B33" s="279"/>
      <c r="C33" s="284"/>
      <c r="D33" s="284"/>
      <c r="E33" s="279"/>
      <c r="G33" s="279"/>
      <c r="H33" s="279"/>
    </row>
    <row r="34" spans="1:13" s="280" customFormat="1" ht="30" customHeight="1" x14ac:dyDescent="0.2">
      <c r="A34" s="353" t="s">
        <v>207</v>
      </c>
      <c r="B34" s="355" t="s">
        <v>186</v>
      </c>
      <c r="C34" s="356"/>
      <c r="D34" s="356"/>
      <c r="E34" s="357"/>
      <c r="F34" s="355" t="s">
        <v>187</v>
      </c>
      <c r="G34" s="356"/>
      <c r="H34" s="356"/>
      <c r="I34" s="357"/>
    </row>
    <row r="35" spans="1:13" s="280" customFormat="1" ht="22.5" customHeight="1" x14ac:dyDescent="0.2">
      <c r="A35" s="354"/>
      <c r="B35" s="278" t="s">
        <v>208</v>
      </c>
      <c r="C35" s="278" t="s">
        <v>209</v>
      </c>
      <c r="D35" s="278" t="s">
        <v>210</v>
      </c>
      <c r="E35" s="278" t="s">
        <v>211</v>
      </c>
      <c r="F35" s="278" t="s">
        <v>208</v>
      </c>
      <c r="G35" s="278" t="s">
        <v>209</v>
      </c>
      <c r="H35" s="278" t="s">
        <v>210</v>
      </c>
      <c r="I35" s="278" t="s">
        <v>211</v>
      </c>
    </row>
    <row r="36" spans="1:13" s="280" customFormat="1" ht="14.25" x14ac:dyDescent="0.2">
      <c r="A36" s="287" t="s">
        <v>212</v>
      </c>
      <c r="B36" s="333"/>
      <c r="C36" s="334"/>
      <c r="D36" s="334"/>
      <c r="E36" s="334"/>
      <c r="F36" s="333"/>
      <c r="G36" s="334"/>
      <c r="H36" s="334"/>
      <c r="I36" s="334"/>
    </row>
    <row r="37" spans="1:13" s="280" customFormat="1" ht="14.25" x14ac:dyDescent="0.2">
      <c r="A37" s="288" t="s">
        <v>213</v>
      </c>
      <c r="B37" s="335"/>
      <c r="C37" s="334"/>
      <c r="D37" s="334"/>
      <c r="E37" s="334"/>
      <c r="F37" s="333"/>
      <c r="G37" s="334"/>
      <c r="H37" s="334"/>
      <c r="I37" s="334"/>
    </row>
    <row r="38" spans="1:13" s="280" customFormat="1" ht="14.25" x14ac:dyDescent="0.2">
      <c r="A38" s="288" t="s">
        <v>214</v>
      </c>
      <c r="B38" s="335"/>
      <c r="C38" s="334"/>
      <c r="D38" s="334"/>
      <c r="E38" s="334"/>
      <c r="F38" s="333"/>
      <c r="G38" s="334"/>
      <c r="H38" s="334"/>
      <c r="I38" s="334"/>
    </row>
    <row r="39" spans="1:13" s="280" customFormat="1" ht="14.25" x14ac:dyDescent="0.2">
      <c r="A39" s="287" t="s">
        <v>215</v>
      </c>
      <c r="B39" s="335"/>
      <c r="C39" s="334"/>
      <c r="D39" s="334"/>
      <c r="E39" s="334"/>
      <c r="F39" s="333"/>
      <c r="G39" s="334"/>
      <c r="H39" s="334"/>
      <c r="I39" s="334"/>
    </row>
    <row r="40" spans="1:13" s="280" customFormat="1" ht="14.25" x14ac:dyDescent="0.2">
      <c r="A40" s="287" t="s">
        <v>216</v>
      </c>
      <c r="B40" s="335">
        <v>0</v>
      </c>
      <c r="C40" s="334">
        <v>0</v>
      </c>
      <c r="D40" s="334"/>
      <c r="E40" s="334"/>
      <c r="F40" s="333"/>
      <c r="G40" s="334"/>
      <c r="H40" s="334"/>
      <c r="I40" s="334"/>
    </row>
    <row r="41" spans="1:13" s="280" customFormat="1" ht="14.25" x14ac:dyDescent="0.2">
      <c r="A41" s="287" t="s">
        <v>217</v>
      </c>
      <c r="B41" s="335">
        <v>0</v>
      </c>
      <c r="C41" s="334">
        <v>0</v>
      </c>
      <c r="D41" s="334"/>
      <c r="E41" s="334"/>
      <c r="F41" s="333"/>
      <c r="G41" s="334"/>
      <c r="H41" s="334"/>
      <c r="I41" s="334"/>
    </row>
    <row r="42" spans="1:13" s="280" customFormat="1" ht="14.25" x14ac:dyDescent="0.2">
      <c r="A42" s="287" t="s">
        <v>218</v>
      </c>
      <c r="B42" s="335">
        <v>0</v>
      </c>
      <c r="C42" s="334">
        <v>1</v>
      </c>
      <c r="D42" s="334"/>
      <c r="E42" s="334"/>
      <c r="F42" s="333"/>
      <c r="G42" s="334">
        <v>1</v>
      </c>
      <c r="H42" s="334"/>
      <c r="I42" s="334"/>
      <c r="J42" s="370"/>
      <c r="K42" s="370"/>
      <c r="L42" s="370"/>
      <c r="M42" s="370"/>
    </row>
    <row r="43" spans="1:13" s="280" customFormat="1" ht="14.25" x14ac:dyDescent="0.2">
      <c r="A43" s="287" t="s">
        <v>219</v>
      </c>
      <c r="B43" s="335">
        <v>1</v>
      </c>
      <c r="C43" s="334">
        <v>4</v>
      </c>
      <c r="D43" s="334"/>
      <c r="E43" s="334"/>
      <c r="F43" s="333">
        <v>2</v>
      </c>
      <c r="G43" s="334">
        <v>2</v>
      </c>
      <c r="H43" s="334"/>
      <c r="I43" s="334"/>
      <c r="J43" s="370"/>
      <c r="K43" s="370"/>
      <c r="L43" s="370"/>
      <c r="M43" s="370"/>
    </row>
    <row r="44" spans="1:13" s="280" customFormat="1" ht="14.25" x14ac:dyDescent="0.2">
      <c r="A44" s="287" t="s">
        <v>220</v>
      </c>
      <c r="B44" s="335">
        <v>40</v>
      </c>
      <c r="C44" s="334">
        <v>60</v>
      </c>
      <c r="D44" s="334">
        <v>1</v>
      </c>
      <c r="E44" s="334"/>
      <c r="F44" s="333">
        <v>56</v>
      </c>
      <c r="G44" s="334">
        <v>57</v>
      </c>
      <c r="H44" s="334">
        <v>1</v>
      </c>
      <c r="I44" s="334"/>
      <c r="J44" s="370"/>
      <c r="K44" s="370"/>
      <c r="L44" s="370"/>
      <c r="M44" s="370"/>
    </row>
    <row r="45" spans="1:13" s="280" customFormat="1" ht="14.25" x14ac:dyDescent="0.2">
      <c r="A45" s="287" t="s">
        <v>221</v>
      </c>
      <c r="B45" s="335">
        <v>30</v>
      </c>
      <c r="C45" s="334">
        <v>55</v>
      </c>
      <c r="D45" s="334">
        <v>0</v>
      </c>
      <c r="E45" s="334"/>
      <c r="F45" s="333">
        <v>39</v>
      </c>
      <c r="G45" s="334">
        <v>80</v>
      </c>
      <c r="H45" s="334"/>
      <c r="I45" s="334"/>
      <c r="J45" s="370"/>
      <c r="K45" s="370"/>
      <c r="L45" s="370"/>
      <c r="M45" s="370"/>
    </row>
    <row r="46" spans="1:13" s="280" customFormat="1" ht="14.25" x14ac:dyDescent="0.2">
      <c r="A46" s="287" t="s">
        <v>222</v>
      </c>
      <c r="B46" s="335">
        <v>11</v>
      </c>
      <c r="C46" s="334">
        <v>35</v>
      </c>
      <c r="D46" s="334"/>
      <c r="E46" s="336"/>
      <c r="F46" s="333">
        <v>20</v>
      </c>
      <c r="G46" s="334">
        <v>54</v>
      </c>
      <c r="H46" s="334"/>
      <c r="I46" s="334">
        <v>2</v>
      </c>
      <c r="J46" s="370"/>
      <c r="K46" s="370"/>
      <c r="L46" s="370"/>
      <c r="M46" s="370"/>
    </row>
    <row r="47" spans="1:13" ht="15" x14ac:dyDescent="0.2">
      <c r="A47" s="289" t="s">
        <v>204</v>
      </c>
      <c r="B47" s="290">
        <f t="shared" ref="B47:I47" si="0">SUM(B36:B46)</f>
        <v>82</v>
      </c>
      <c r="C47" s="290">
        <f t="shared" si="0"/>
        <v>155</v>
      </c>
      <c r="D47" s="290">
        <f t="shared" si="0"/>
        <v>1</v>
      </c>
      <c r="E47" s="290">
        <f t="shared" si="0"/>
        <v>0</v>
      </c>
      <c r="F47" s="290">
        <f t="shared" si="0"/>
        <v>117</v>
      </c>
      <c r="G47" s="290">
        <f t="shared" si="0"/>
        <v>194</v>
      </c>
      <c r="H47" s="290">
        <f t="shared" si="0"/>
        <v>1</v>
      </c>
      <c r="I47" s="290">
        <f t="shared" si="0"/>
        <v>2</v>
      </c>
    </row>
    <row r="48" spans="1:13" x14ac:dyDescent="0.2">
      <c r="C48" s="272"/>
    </row>
    <row r="49" spans="1:3" ht="45" x14ac:dyDescent="0.2">
      <c r="A49" s="277" t="s">
        <v>223</v>
      </c>
      <c r="B49" s="293" t="s">
        <v>185</v>
      </c>
      <c r="C49" s="294" t="s">
        <v>224</v>
      </c>
    </row>
    <row r="50" spans="1:3" ht="14.25" x14ac:dyDescent="0.2">
      <c r="A50" s="295"/>
      <c r="B50" s="164">
        <f>IFERROR(('PROGRAM BUDGET &amp; FISCAL REPORT'!G13/'PARTICIPANTS &amp; DEMOGRAPHICS'!B6),"N/A")</f>
        <v>1934.2349848888889</v>
      </c>
      <c r="C50" s="296">
        <f>IFERROR(('PROGRAM BUDGET &amp; FISCAL REPORT'!N13/'PARTICIPANTS &amp; DEMOGRAPHICS'!D6),"N/A")</f>
        <v>1828.1090047393366</v>
      </c>
    </row>
  </sheetData>
  <sheetProtection algorithmName="SHA-512" hashValue="sB+Wsk4IqceVCLJsDNDzgFEjSpzki+KJFeZJ7WneBGjeRE63/t3mfmlakwZhgriSyudZ+zAmSjQlib1xk5u4UA==" saltValue="rP2VbC9x8wor//YaF5CuHw==" spinCount="100000" sheet="1" objects="1" scenarios="1"/>
  <protectedRanges>
    <protectedRange sqref="F36:I46" name="Range4"/>
    <protectedRange sqref="D26:D31" name="Range3"/>
    <protectedRange sqref="D16:D22" name="Range2"/>
    <protectedRange sqref="D6:D13" name="Range1"/>
  </protectedRanges>
  <mergeCells count="3">
    <mergeCell ref="A34:A35"/>
    <mergeCell ref="B34:E34"/>
    <mergeCell ref="F34:I34"/>
  </mergeCells>
  <pageMargins left="0.7" right="0.7" top="0.75" bottom="0.75" header="0.3" footer="0.3"/>
  <pageSetup scale="60" orientation="landscape" r:id="rId1"/>
  <headerFooter>
    <oddFooter>&amp;LCity of Santa Monica
Exhibit C3 – Program Budget&amp;C&amp;P&amp;RFiscal Year 2021-22
Human Services Grants Program</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H20"/>
  <sheetViews>
    <sheetView topLeftCell="B1" zoomScaleNormal="100" zoomScaleSheetLayoutView="100" workbookViewId="0">
      <selection activeCell="F1" sqref="F1"/>
    </sheetView>
  </sheetViews>
  <sheetFormatPr defaultColWidth="11.42578125" defaultRowHeight="12" x14ac:dyDescent="0.2"/>
  <cols>
    <col min="1" max="1" width="9.85546875" style="75" hidden="1" customWidth="1"/>
    <col min="2" max="2" width="48.85546875" style="75" customWidth="1"/>
    <col min="3" max="3" width="15.42578125" style="77" customWidth="1"/>
    <col min="4" max="4" width="19.140625" style="77" customWidth="1"/>
    <col min="5" max="5" width="19.7109375" style="77" customWidth="1"/>
    <col min="6" max="6" width="19.42578125" style="77" customWidth="1"/>
    <col min="7" max="7" width="31.42578125" style="77" customWidth="1"/>
    <col min="8" max="16384" width="11.42578125" style="75"/>
  </cols>
  <sheetData>
    <row r="1" spans="1:8" ht="18" x14ac:dyDescent="0.25">
      <c r="A1" s="171"/>
      <c r="B1" s="68" t="s">
        <v>34</v>
      </c>
      <c r="C1" s="75"/>
      <c r="D1" s="75"/>
      <c r="E1" s="75"/>
      <c r="F1" s="75"/>
      <c r="G1" s="75"/>
    </row>
    <row r="2" spans="1:8" ht="18" x14ac:dyDescent="0.25">
      <c r="A2" s="171"/>
      <c r="B2" s="68" t="s">
        <v>225</v>
      </c>
      <c r="C2" s="75"/>
      <c r="D2" s="75"/>
      <c r="E2" s="75"/>
      <c r="F2" s="75"/>
      <c r="G2" s="75"/>
    </row>
    <row r="3" spans="1:8" ht="22.5" customHeight="1" x14ac:dyDescent="0.25">
      <c r="A3" s="171"/>
      <c r="B3" s="172" t="str">
        <f>'PROGRAM BUDGET &amp; FISCAL REPORT'!A6</f>
        <v>AGENCY NAME:</v>
      </c>
      <c r="C3" s="173" t="str">
        <f>'PROGRAM BUDGET &amp; FISCAL REPORT'!B6</f>
        <v>WISE &amp; Healthy Aging</v>
      </c>
      <c r="D3" s="174"/>
      <c r="E3" s="174"/>
      <c r="F3" s="174"/>
      <c r="G3" s="75"/>
    </row>
    <row r="4" spans="1:8" ht="22.5" customHeight="1" x14ac:dyDescent="0.25">
      <c r="A4" s="171"/>
      <c r="B4" s="172" t="str">
        <f>'PROGRAM BUDGET &amp; FISCAL REPORT'!A7</f>
        <v>PROGRAM NAME:</v>
      </c>
      <c r="C4" s="175" t="str">
        <f>'PROGRAM BUDGET &amp; FISCAL REPORT'!B7</f>
        <v>Care Management</v>
      </c>
      <c r="D4" s="176"/>
      <c r="E4" s="176"/>
      <c r="F4" s="176"/>
      <c r="G4" s="75"/>
    </row>
    <row r="5" spans="1:8" ht="8.25" customHeight="1" thickBot="1" x14ac:dyDescent="0.25">
      <c r="A5" s="171"/>
      <c r="B5" s="177"/>
      <c r="C5" s="75"/>
      <c r="D5" s="75"/>
      <c r="E5" s="75"/>
      <c r="F5" s="75"/>
      <c r="G5" s="75"/>
    </row>
    <row r="6" spans="1:8" ht="52.5" customHeight="1" x14ac:dyDescent="0.55000000000000004">
      <c r="B6" s="178" t="s">
        <v>226</v>
      </c>
      <c r="C6" s="179" t="s">
        <v>227</v>
      </c>
      <c r="D6" s="179"/>
      <c r="E6" s="179" t="s">
        <v>228</v>
      </c>
      <c r="F6" s="180"/>
      <c r="G6" s="75"/>
    </row>
    <row r="7" spans="1:8" ht="14.25" x14ac:dyDescent="0.2">
      <c r="B7" s="181" t="s">
        <v>229</v>
      </c>
      <c r="C7" s="182">
        <f>'PARTICIPANTS &amp; DEMOGRAPHICS'!B6</f>
        <v>375</v>
      </c>
      <c r="D7" s="183"/>
      <c r="E7" s="183">
        <f>'PARTICIPANTS &amp; DEMOGRAPHICS'!D6</f>
        <v>422</v>
      </c>
      <c r="F7" s="184"/>
      <c r="G7" s="75"/>
    </row>
    <row r="8" spans="1:8" ht="14.25" x14ac:dyDescent="0.2">
      <c r="B8" s="185" t="s">
        <v>230</v>
      </c>
      <c r="C8" s="182">
        <f>'PARTICIPANTS &amp; DEMOGRAPHICS'!B7</f>
        <v>290</v>
      </c>
      <c r="D8" s="183"/>
      <c r="E8" s="183">
        <f>'PARTICIPANTS &amp; DEMOGRAPHICS'!D7</f>
        <v>314</v>
      </c>
      <c r="F8" s="184"/>
      <c r="G8" s="75"/>
    </row>
    <row r="9" spans="1:8" ht="14.25" x14ac:dyDescent="0.2">
      <c r="B9" s="181" t="s">
        <v>231</v>
      </c>
      <c r="C9" s="95">
        <f>IFERROR(C8/C7, "N/A")</f>
        <v>0.77333333333333332</v>
      </c>
      <c r="D9" s="186"/>
      <c r="E9" s="187">
        <f>IFERROR(E8/E7, "N/A")</f>
        <v>0.74407582938388628</v>
      </c>
      <c r="F9" s="184"/>
      <c r="G9" s="75"/>
    </row>
    <row r="10" spans="1:8" ht="14.25" x14ac:dyDescent="0.2">
      <c r="B10" s="181"/>
      <c r="C10" s="188"/>
      <c r="D10" s="186"/>
      <c r="E10" s="182"/>
      <c r="F10" s="184"/>
      <c r="G10" s="75"/>
    </row>
    <row r="11" spans="1:8" ht="63.75" customHeight="1" x14ac:dyDescent="0.55000000000000004">
      <c r="B11" s="189" t="s">
        <v>232</v>
      </c>
      <c r="C11" s="341" t="s">
        <v>233</v>
      </c>
      <c r="D11" s="341" t="s">
        <v>234</v>
      </c>
      <c r="E11" s="341" t="s">
        <v>235</v>
      </c>
      <c r="F11" s="342" t="s">
        <v>236</v>
      </c>
      <c r="G11" s="75"/>
    </row>
    <row r="12" spans="1:8" ht="16.5" customHeight="1" x14ac:dyDescent="0.2">
      <c r="B12" s="181" t="s">
        <v>237</v>
      </c>
      <c r="C12" s="165">
        <f>'PROGRAM BUDGET &amp; FISCAL REPORT'!G13</f>
        <v>725338.11933333334</v>
      </c>
      <c r="D12" s="165">
        <f>'PROGRAM BUDGET &amp; FISCAL REPORT'!H13</f>
        <v>345744</v>
      </c>
      <c r="E12" s="165">
        <f>'PROGRAM BUDGET &amp; FISCAL REPORT'!N13</f>
        <v>771462</v>
      </c>
      <c r="F12" s="166">
        <f>'PROGRAM BUDGET &amp; FISCAL REPORT'!L13</f>
        <v>345744</v>
      </c>
      <c r="G12" s="75"/>
    </row>
    <row r="13" spans="1:8" ht="16.5" customHeight="1" x14ac:dyDescent="0.2">
      <c r="B13" s="181"/>
      <c r="C13" s="78"/>
      <c r="D13" s="78"/>
      <c r="E13" s="78"/>
      <c r="F13" s="79"/>
      <c r="G13" s="75"/>
    </row>
    <row r="14" spans="1:8" ht="19.5" x14ac:dyDescent="0.55000000000000004">
      <c r="B14" s="189" t="s">
        <v>238</v>
      </c>
      <c r="C14" s="358" t="s">
        <v>239</v>
      </c>
      <c r="D14" s="358"/>
      <c r="E14" s="358" t="s">
        <v>240</v>
      </c>
      <c r="F14" s="359"/>
      <c r="G14" s="75"/>
    </row>
    <row r="15" spans="1:8" ht="14.25" x14ac:dyDescent="0.2">
      <c r="B15" s="181" t="s">
        <v>241</v>
      </c>
      <c r="C15" s="167">
        <f>IFERROR(C12*C9,"N/A")</f>
        <v>560928.14561777771</v>
      </c>
      <c r="D15" s="190">
        <f>IFERROR(C15/C12,"N/A")</f>
        <v>0.77333333333333321</v>
      </c>
      <c r="E15" s="168">
        <f>IFERROR(E12*E9,"N/A")</f>
        <v>574026.22748815164</v>
      </c>
      <c r="F15" s="191">
        <f>IFERROR(E15/E12,"N/A")</f>
        <v>0.74407582938388628</v>
      </c>
      <c r="G15" s="75"/>
    </row>
    <row r="16" spans="1:8" ht="14.25" x14ac:dyDescent="0.2">
      <c r="B16" s="181" t="s">
        <v>242</v>
      </c>
      <c r="C16" s="167">
        <f>D12</f>
        <v>345744</v>
      </c>
      <c r="D16" s="190">
        <f>IFERROR(C16/C15, "N/A")</f>
        <v>0.61637841263824467</v>
      </c>
      <c r="E16" s="168">
        <f>F12</f>
        <v>345744</v>
      </c>
      <c r="F16" s="191">
        <f>IFERROR(E16/E15, "N/A")</f>
        <v>0.60231394219201673</v>
      </c>
      <c r="G16" s="75"/>
      <c r="H16" s="76"/>
    </row>
    <row r="17" spans="2:7" ht="15" thickBot="1" x14ac:dyDescent="0.25">
      <c r="B17" s="181"/>
      <c r="C17" s="57"/>
      <c r="D17" s="190"/>
      <c r="E17" s="80"/>
      <c r="F17" s="191"/>
      <c r="G17" s="75"/>
    </row>
    <row r="18" spans="2:7" ht="15.75" thickBot="1" x14ac:dyDescent="0.3">
      <c r="B18" s="192" t="s">
        <v>243</v>
      </c>
      <c r="C18" s="169">
        <f>IFERROR(C15-C16,"N/A")</f>
        <v>215184.14561777771</v>
      </c>
      <c r="D18" s="193">
        <f>IFERROR(C18/C15, "N/A")</f>
        <v>0.38362158736175528</v>
      </c>
      <c r="E18" s="169">
        <f>IFERROR(E15-E16, "N/A")</f>
        <v>228282.22748815164</v>
      </c>
      <c r="F18" s="194">
        <f>IFERROR(E18/E15, "N/A")</f>
        <v>0.39768605780798327</v>
      </c>
      <c r="G18" s="75"/>
    </row>
    <row r="19" spans="2:7" ht="30.75" thickBot="1" x14ac:dyDescent="0.3">
      <c r="B19" s="181"/>
      <c r="C19" s="195"/>
      <c r="D19" s="196" t="s">
        <v>244</v>
      </c>
      <c r="E19" s="183"/>
      <c r="F19" s="196" t="s">
        <v>244</v>
      </c>
    </row>
    <row r="20" spans="2:7" s="1" customFormat="1" ht="12.75" x14ac:dyDescent="0.2">
      <c r="B20" s="75"/>
      <c r="C20" s="77"/>
      <c r="D20" s="77"/>
      <c r="E20" s="77"/>
      <c r="F20" s="77"/>
      <c r="G20" s="77"/>
    </row>
  </sheetData>
  <sheetProtection algorithmName="SHA-512" hashValue="17m9PwzQVMezbEEskzO70R1hUg4QoDlm0THHXTQ5t4VSKCeyGOUliL3jNmBhj7t4Vp6+TEzW6t0GC5Si3zsydQ==" saltValue="n68bBtsYNa7kiV4pefE0Wg==" spinCount="100000" sheet="1" objects="1" scenarios="1"/>
  <mergeCells count="2">
    <mergeCell ref="C14:D14"/>
    <mergeCell ref="E14:F14"/>
  </mergeCells>
  <pageMargins left="0.7" right="0.7" top="0.75" bottom="0.75" header="0.3" footer="0.3"/>
  <pageSetup scale="75" orientation="portrait" r:id="rId1"/>
  <headerFooter>
    <oddFooter>&amp;LCity of Santa Monica
Exhibit C3 – Program Budget&amp;C&amp;P&amp;RFiscal Year 2021-22
Human Services Grants Program</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A1:G38"/>
  <sheetViews>
    <sheetView zoomScaleNormal="100" workbookViewId="0">
      <selection activeCell="E1" sqref="E1"/>
    </sheetView>
  </sheetViews>
  <sheetFormatPr defaultRowHeight="12.75" x14ac:dyDescent="0.2"/>
  <cols>
    <col min="1" max="1" width="12.28515625" style="142" customWidth="1"/>
    <col min="2" max="2" width="33.7109375" style="142" customWidth="1"/>
    <col min="3" max="4" width="16.42578125" style="142" customWidth="1"/>
    <col min="5" max="5" width="36.85546875" style="142" customWidth="1"/>
    <col min="6" max="6" width="8.7109375" style="142"/>
    <col min="7" max="7" width="9.7109375" style="142" customWidth="1"/>
    <col min="8" max="253" width="8.7109375" style="142"/>
    <col min="254" max="254" width="12.28515625" style="142" customWidth="1"/>
    <col min="255" max="255" width="21" style="142" customWidth="1"/>
    <col min="256" max="256" width="15.42578125" style="142" customWidth="1"/>
    <col min="257" max="259" width="12.85546875" style="142" customWidth="1"/>
    <col min="260" max="260" width="8.7109375" style="142"/>
    <col min="261" max="261" width="15.42578125" style="142" customWidth="1"/>
    <col min="262" max="262" width="8.7109375" style="142"/>
    <col min="263" max="263" width="9.7109375" style="142" customWidth="1"/>
    <col min="264" max="509" width="8.7109375" style="142"/>
    <col min="510" max="510" width="12.28515625" style="142" customWidth="1"/>
    <col min="511" max="511" width="21" style="142" customWidth="1"/>
    <col min="512" max="512" width="15.42578125" style="142" customWidth="1"/>
    <col min="513" max="515" width="12.85546875" style="142" customWidth="1"/>
    <col min="516" max="516" width="8.7109375" style="142"/>
    <col min="517" max="517" width="15.42578125" style="142" customWidth="1"/>
    <col min="518" max="518" width="8.7109375" style="142"/>
    <col min="519" max="519" width="9.7109375" style="142" customWidth="1"/>
    <col min="520" max="765" width="8.7109375" style="142"/>
    <col min="766" max="766" width="12.28515625" style="142" customWidth="1"/>
    <col min="767" max="767" width="21" style="142" customWidth="1"/>
    <col min="768" max="768" width="15.42578125" style="142" customWidth="1"/>
    <col min="769" max="771" width="12.85546875" style="142" customWidth="1"/>
    <col min="772" max="772" width="8.7109375" style="142"/>
    <col min="773" max="773" width="15.42578125" style="142" customWidth="1"/>
    <col min="774" max="774" width="8.7109375" style="142"/>
    <col min="775" max="775" width="9.7109375" style="142" customWidth="1"/>
    <col min="776" max="1021" width="8.7109375" style="142"/>
    <col min="1022" max="1022" width="12.28515625" style="142" customWidth="1"/>
    <col min="1023" max="1023" width="21" style="142" customWidth="1"/>
    <col min="1024" max="1024" width="15.42578125" style="142" customWidth="1"/>
    <col min="1025" max="1027" width="12.85546875" style="142" customWidth="1"/>
    <col min="1028" max="1028" width="8.7109375" style="142"/>
    <col min="1029" max="1029" width="15.42578125" style="142" customWidth="1"/>
    <col min="1030" max="1030" width="8.7109375" style="142"/>
    <col min="1031" max="1031" width="9.7109375" style="142" customWidth="1"/>
    <col min="1032" max="1277" width="8.7109375" style="142"/>
    <col min="1278" max="1278" width="12.28515625" style="142" customWidth="1"/>
    <col min="1279" max="1279" width="21" style="142" customWidth="1"/>
    <col min="1280" max="1280" width="15.42578125" style="142" customWidth="1"/>
    <col min="1281" max="1283" width="12.85546875" style="142" customWidth="1"/>
    <col min="1284" max="1284" width="8.7109375" style="142"/>
    <col min="1285" max="1285" width="15.42578125" style="142" customWidth="1"/>
    <col min="1286" max="1286" width="8.7109375" style="142"/>
    <col min="1287" max="1287" width="9.7109375" style="142" customWidth="1"/>
    <col min="1288" max="1533" width="8.7109375" style="142"/>
    <col min="1534" max="1534" width="12.28515625" style="142" customWidth="1"/>
    <col min="1535" max="1535" width="21" style="142" customWidth="1"/>
    <col min="1536" max="1536" width="15.42578125" style="142" customWidth="1"/>
    <col min="1537" max="1539" width="12.85546875" style="142" customWidth="1"/>
    <col min="1540" max="1540" width="8.7109375" style="142"/>
    <col min="1541" max="1541" width="15.42578125" style="142" customWidth="1"/>
    <col min="1542" max="1542" width="8.7109375" style="142"/>
    <col min="1543" max="1543" width="9.7109375" style="142" customWidth="1"/>
    <col min="1544" max="1789" width="8.7109375" style="142"/>
    <col min="1790" max="1790" width="12.28515625" style="142" customWidth="1"/>
    <col min="1791" max="1791" width="21" style="142" customWidth="1"/>
    <col min="1792" max="1792" width="15.42578125" style="142" customWidth="1"/>
    <col min="1793" max="1795" width="12.85546875" style="142" customWidth="1"/>
    <col min="1796" max="1796" width="8.7109375" style="142"/>
    <col min="1797" max="1797" width="15.42578125" style="142" customWidth="1"/>
    <col min="1798" max="1798" width="8.7109375" style="142"/>
    <col min="1799" max="1799" width="9.7109375" style="142" customWidth="1"/>
    <col min="1800" max="2045" width="8.7109375" style="142"/>
    <col min="2046" max="2046" width="12.28515625" style="142" customWidth="1"/>
    <col min="2047" max="2047" width="21" style="142" customWidth="1"/>
    <col min="2048" max="2048" width="15.42578125" style="142" customWidth="1"/>
    <col min="2049" max="2051" width="12.85546875" style="142" customWidth="1"/>
    <col min="2052" max="2052" width="8.7109375" style="142"/>
    <col min="2053" max="2053" width="15.42578125" style="142" customWidth="1"/>
    <col min="2054" max="2054" width="8.7109375" style="142"/>
    <col min="2055" max="2055" width="9.7109375" style="142" customWidth="1"/>
    <col min="2056" max="2301" width="8.7109375" style="142"/>
    <col min="2302" max="2302" width="12.28515625" style="142" customWidth="1"/>
    <col min="2303" max="2303" width="21" style="142" customWidth="1"/>
    <col min="2304" max="2304" width="15.42578125" style="142" customWidth="1"/>
    <col min="2305" max="2307" width="12.85546875" style="142" customWidth="1"/>
    <col min="2308" max="2308" width="8.7109375" style="142"/>
    <col min="2309" max="2309" width="15.42578125" style="142" customWidth="1"/>
    <col min="2310" max="2310" width="8.7109375" style="142"/>
    <col min="2311" max="2311" width="9.7109375" style="142" customWidth="1"/>
    <col min="2312" max="2557" width="8.7109375" style="142"/>
    <col min="2558" max="2558" width="12.28515625" style="142" customWidth="1"/>
    <col min="2559" max="2559" width="21" style="142" customWidth="1"/>
    <col min="2560" max="2560" width="15.42578125" style="142" customWidth="1"/>
    <col min="2561" max="2563" width="12.85546875" style="142" customWidth="1"/>
    <col min="2564" max="2564" width="8.7109375" style="142"/>
    <col min="2565" max="2565" width="15.42578125" style="142" customWidth="1"/>
    <col min="2566" max="2566" width="8.7109375" style="142"/>
    <col min="2567" max="2567" width="9.7109375" style="142" customWidth="1"/>
    <col min="2568" max="2813" width="8.7109375" style="142"/>
    <col min="2814" max="2814" width="12.28515625" style="142" customWidth="1"/>
    <col min="2815" max="2815" width="21" style="142" customWidth="1"/>
    <col min="2816" max="2816" width="15.42578125" style="142" customWidth="1"/>
    <col min="2817" max="2819" width="12.85546875" style="142" customWidth="1"/>
    <col min="2820" max="2820" width="8.7109375" style="142"/>
    <col min="2821" max="2821" width="15.42578125" style="142" customWidth="1"/>
    <col min="2822" max="2822" width="8.7109375" style="142"/>
    <col min="2823" max="2823" width="9.7109375" style="142" customWidth="1"/>
    <col min="2824" max="3069" width="8.7109375" style="142"/>
    <col min="3070" max="3070" width="12.28515625" style="142" customWidth="1"/>
    <col min="3071" max="3071" width="21" style="142" customWidth="1"/>
    <col min="3072" max="3072" width="15.42578125" style="142" customWidth="1"/>
    <col min="3073" max="3075" width="12.85546875" style="142" customWidth="1"/>
    <col min="3076" max="3076" width="8.7109375" style="142"/>
    <col min="3077" max="3077" width="15.42578125" style="142" customWidth="1"/>
    <col min="3078" max="3078" width="8.7109375" style="142"/>
    <col min="3079" max="3079" width="9.7109375" style="142" customWidth="1"/>
    <col min="3080" max="3325" width="8.7109375" style="142"/>
    <col min="3326" max="3326" width="12.28515625" style="142" customWidth="1"/>
    <col min="3327" max="3327" width="21" style="142" customWidth="1"/>
    <col min="3328" max="3328" width="15.42578125" style="142" customWidth="1"/>
    <col min="3329" max="3331" width="12.85546875" style="142" customWidth="1"/>
    <col min="3332" max="3332" width="8.7109375" style="142"/>
    <col min="3333" max="3333" width="15.42578125" style="142" customWidth="1"/>
    <col min="3334" max="3334" width="8.7109375" style="142"/>
    <col min="3335" max="3335" width="9.7109375" style="142" customWidth="1"/>
    <col min="3336" max="3581" width="8.7109375" style="142"/>
    <col min="3582" max="3582" width="12.28515625" style="142" customWidth="1"/>
    <col min="3583" max="3583" width="21" style="142" customWidth="1"/>
    <col min="3584" max="3584" width="15.42578125" style="142" customWidth="1"/>
    <col min="3585" max="3587" width="12.85546875" style="142" customWidth="1"/>
    <col min="3588" max="3588" width="8.7109375" style="142"/>
    <col min="3589" max="3589" width="15.42578125" style="142" customWidth="1"/>
    <col min="3590" max="3590" width="8.7109375" style="142"/>
    <col min="3591" max="3591" width="9.7109375" style="142" customWidth="1"/>
    <col min="3592" max="3837" width="8.7109375" style="142"/>
    <col min="3838" max="3838" width="12.28515625" style="142" customWidth="1"/>
    <col min="3839" max="3839" width="21" style="142" customWidth="1"/>
    <col min="3840" max="3840" width="15.42578125" style="142" customWidth="1"/>
    <col min="3841" max="3843" width="12.85546875" style="142" customWidth="1"/>
    <col min="3844" max="3844" width="8.7109375" style="142"/>
    <col min="3845" max="3845" width="15.42578125" style="142" customWidth="1"/>
    <col min="3846" max="3846" width="8.7109375" style="142"/>
    <col min="3847" max="3847" width="9.7109375" style="142" customWidth="1"/>
    <col min="3848" max="4093" width="8.7109375" style="142"/>
    <col min="4094" max="4094" width="12.28515625" style="142" customWidth="1"/>
    <col min="4095" max="4095" width="21" style="142" customWidth="1"/>
    <col min="4096" max="4096" width="15.42578125" style="142" customWidth="1"/>
    <col min="4097" max="4099" width="12.85546875" style="142" customWidth="1"/>
    <col min="4100" max="4100" width="8.7109375" style="142"/>
    <col min="4101" max="4101" width="15.42578125" style="142" customWidth="1"/>
    <col min="4102" max="4102" width="8.7109375" style="142"/>
    <col min="4103" max="4103" width="9.7109375" style="142" customWidth="1"/>
    <col min="4104" max="4349" width="8.7109375" style="142"/>
    <col min="4350" max="4350" width="12.28515625" style="142" customWidth="1"/>
    <col min="4351" max="4351" width="21" style="142" customWidth="1"/>
    <col min="4352" max="4352" width="15.42578125" style="142" customWidth="1"/>
    <col min="4353" max="4355" width="12.85546875" style="142" customWidth="1"/>
    <col min="4356" max="4356" width="8.7109375" style="142"/>
    <col min="4357" max="4357" width="15.42578125" style="142" customWidth="1"/>
    <col min="4358" max="4358" width="8.7109375" style="142"/>
    <col min="4359" max="4359" width="9.7109375" style="142" customWidth="1"/>
    <col min="4360" max="4605" width="8.7109375" style="142"/>
    <col min="4606" max="4606" width="12.28515625" style="142" customWidth="1"/>
    <col min="4607" max="4607" width="21" style="142" customWidth="1"/>
    <col min="4608" max="4608" width="15.42578125" style="142" customWidth="1"/>
    <col min="4609" max="4611" width="12.85546875" style="142" customWidth="1"/>
    <col min="4612" max="4612" width="8.7109375" style="142"/>
    <col min="4613" max="4613" width="15.42578125" style="142" customWidth="1"/>
    <col min="4614" max="4614" width="8.7109375" style="142"/>
    <col min="4615" max="4615" width="9.7109375" style="142" customWidth="1"/>
    <col min="4616" max="4861" width="8.7109375" style="142"/>
    <col min="4862" max="4862" width="12.28515625" style="142" customWidth="1"/>
    <col min="4863" max="4863" width="21" style="142" customWidth="1"/>
    <col min="4864" max="4864" width="15.42578125" style="142" customWidth="1"/>
    <col min="4865" max="4867" width="12.85546875" style="142" customWidth="1"/>
    <col min="4868" max="4868" width="8.7109375" style="142"/>
    <col min="4869" max="4869" width="15.42578125" style="142" customWidth="1"/>
    <col min="4870" max="4870" width="8.7109375" style="142"/>
    <col min="4871" max="4871" width="9.7109375" style="142" customWidth="1"/>
    <col min="4872" max="5117" width="8.7109375" style="142"/>
    <col min="5118" max="5118" width="12.28515625" style="142" customWidth="1"/>
    <col min="5119" max="5119" width="21" style="142" customWidth="1"/>
    <col min="5120" max="5120" width="15.42578125" style="142" customWidth="1"/>
    <col min="5121" max="5123" width="12.85546875" style="142" customWidth="1"/>
    <col min="5124" max="5124" width="8.7109375" style="142"/>
    <col min="5125" max="5125" width="15.42578125" style="142" customWidth="1"/>
    <col min="5126" max="5126" width="8.7109375" style="142"/>
    <col min="5127" max="5127" width="9.7109375" style="142" customWidth="1"/>
    <col min="5128" max="5373" width="8.7109375" style="142"/>
    <col min="5374" max="5374" width="12.28515625" style="142" customWidth="1"/>
    <col min="5375" max="5375" width="21" style="142" customWidth="1"/>
    <col min="5376" max="5376" width="15.42578125" style="142" customWidth="1"/>
    <col min="5377" max="5379" width="12.85546875" style="142" customWidth="1"/>
    <col min="5380" max="5380" width="8.7109375" style="142"/>
    <col min="5381" max="5381" width="15.42578125" style="142" customWidth="1"/>
    <col min="5382" max="5382" width="8.7109375" style="142"/>
    <col min="5383" max="5383" width="9.7109375" style="142" customWidth="1"/>
    <col min="5384" max="5629" width="8.7109375" style="142"/>
    <col min="5630" max="5630" width="12.28515625" style="142" customWidth="1"/>
    <col min="5631" max="5631" width="21" style="142" customWidth="1"/>
    <col min="5632" max="5632" width="15.42578125" style="142" customWidth="1"/>
    <col min="5633" max="5635" width="12.85546875" style="142" customWidth="1"/>
    <col min="5636" max="5636" width="8.7109375" style="142"/>
    <col min="5637" max="5637" width="15.42578125" style="142" customWidth="1"/>
    <col min="5638" max="5638" width="8.7109375" style="142"/>
    <col min="5639" max="5639" width="9.7109375" style="142" customWidth="1"/>
    <col min="5640" max="5885" width="8.7109375" style="142"/>
    <col min="5886" max="5886" width="12.28515625" style="142" customWidth="1"/>
    <col min="5887" max="5887" width="21" style="142" customWidth="1"/>
    <col min="5888" max="5888" width="15.42578125" style="142" customWidth="1"/>
    <col min="5889" max="5891" width="12.85546875" style="142" customWidth="1"/>
    <col min="5892" max="5892" width="8.7109375" style="142"/>
    <col min="5893" max="5893" width="15.42578125" style="142" customWidth="1"/>
    <col min="5894" max="5894" width="8.7109375" style="142"/>
    <col min="5895" max="5895" width="9.7109375" style="142" customWidth="1"/>
    <col min="5896" max="6141" width="8.7109375" style="142"/>
    <col min="6142" max="6142" width="12.28515625" style="142" customWidth="1"/>
    <col min="6143" max="6143" width="21" style="142" customWidth="1"/>
    <col min="6144" max="6144" width="15.42578125" style="142" customWidth="1"/>
    <col min="6145" max="6147" width="12.85546875" style="142" customWidth="1"/>
    <col min="6148" max="6148" width="8.7109375" style="142"/>
    <col min="6149" max="6149" width="15.42578125" style="142" customWidth="1"/>
    <col min="6150" max="6150" width="8.7109375" style="142"/>
    <col min="6151" max="6151" width="9.7109375" style="142" customWidth="1"/>
    <col min="6152" max="6397" width="8.7109375" style="142"/>
    <col min="6398" max="6398" width="12.28515625" style="142" customWidth="1"/>
    <col min="6399" max="6399" width="21" style="142" customWidth="1"/>
    <col min="6400" max="6400" width="15.42578125" style="142" customWidth="1"/>
    <col min="6401" max="6403" width="12.85546875" style="142" customWidth="1"/>
    <col min="6404" max="6404" width="8.7109375" style="142"/>
    <col min="6405" max="6405" width="15.42578125" style="142" customWidth="1"/>
    <col min="6406" max="6406" width="8.7109375" style="142"/>
    <col min="6407" max="6407" width="9.7109375" style="142" customWidth="1"/>
    <col min="6408" max="6653" width="8.7109375" style="142"/>
    <col min="6654" max="6654" width="12.28515625" style="142" customWidth="1"/>
    <col min="6655" max="6655" width="21" style="142" customWidth="1"/>
    <col min="6656" max="6656" width="15.42578125" style="142" customWidth="1"/>
    <col min="6657" max="6659" width="12.85546875" style="142" customWidth="1"/>
    <col min="6660" max="6660" width="8.7109375" style="142"/>
    <col min="6661" max="6661" width="15.42578125" style="142" customWidth="1"/>
    <col min="6662" max="6662" width="8.7109375" style="142"/>
    <col min="6663" max="6663" width="9.7109375" style="142" customWidth="1"/>
    <col min="6664" max="6909" width="8.7109375" style="142"/>
    <col min="6910" max="6910" width="12.28515625" style="142" customWidth="1"/>
    <col min="6911" max="6911" width="21" style="142" customWidth="1"/>
    <col min="6912" max="6912" width="15.42578125" style="142" customWidth="1"/>
    <col min="6913" max="6915" width="12.85546875" style="142" customWidth="1"/>
    <col min="6916" max="6916" width="8.7109375" style="142"/>
    <col min="6917" max="6917" width="15.42578125" style="142" customWidth="1"/>
    <col min="6918" max="6918" width="8.7109375" style="142"/>
    <col min="6919" max="6919" width="9.7109375" style="142" customWidth="1"/>
    <col min="6920" max="7165" width="8.7109375" style="142"/>
    <col min="7166" max="7166" width="12.28515625" style="142" customWidth="1"/>
    <col min="7167" max="7167" width="21" style="142" customWidth="1"/>
    <col min="7168" max="7168" width="15.42578125" style="142" customWidth="1"/>
    <col min="7169" max="7171" width="12.85546875" style="142" customWidth="1"/>
    <col min="7172" max="7172" width="8.7109375" style="142"/>
    <col min="7173" max="7173" width="15.42578125" style="142" customWidth="1"/>
    <col min="7174" max="7174" width="8.7109375" style="142"/>
    <col min="7175" max="7175" width="9.7109375" style="142" customWidth="1"/>
    <col min="7176" max="7421" width="8.7109375" style="142"/>
    <col min="7422" max="7422" width="12.28515625" style="142" customWidth="1"/>
    <col min="7423" max="7423" width="21" style="142" customWidth="1"/>
    <col min="7424" max="7424" width="15.42578125" style="142" customWidth="1"/>
    <col min="7425" max="7427" width="12.85546875" style="142" customWidth="1"/>
    <col min="7428" max="7428" width="8.7109375" style="142"/>
    <col min="7429" max="7429" width="15.42578125" style="142" customWidth="1"/>
    <col min="7430" max="7430" width="8.7109375" style="142"/>
    <col min="7431" max="7431" width="9.7109375" style="142" customWidth="1"/>
    <col min="7432" max="7677" width="8.7109375" style="142"/>
    <col min="7678" max="7678" width="12.28515625" style="142" customWidth="1"/>
    <col min="7679" max="7679" width="21" style="142" customWidth="1"/>
    <col min="7680" max="7680" width="15.42578125" style="142" customWidth="1"/>
    <col min="7681" max="7683" width="12.85546875" style="142" customWidth="1"/>
    <col min="7684" max="7684" width="8.7109375" style="142"/>
    <col min="7685" max="7685" width="15.42578125" style="142" customWidth="1"/>
    <col min="7686" max="7686" width="8.7109375" style="142"/>
    <col min="7687" max="7687" width="9.7109375" style="142" customWidth="1"/>
    <col min="7688" max="7933" width="8.7109375" style="142"/>
    <col min="7934" max="7934" width="12.28515625" style="142" customWidth="1"/>
    <col min="7935" max="7935" width="21" style="142" customWidth="1"/>
    <col min="7936" max="7936" width="15.42578125" style="142" customWidth="1"/>
    <col min="7937" max="7939" width="12.85546875" style="142" customWidth="1"/>
    <col min="7940" max="7940" width="8.7109375" style="142"/>
    <col min="7941" max="7941" width="15.42578125" style="142" customWidth="1"/>
    <col min="7942" max="7942" width="8.7109375" style="142"/>
    <col min="7943" max="7943" width="9.7109375" style="142" customWidth="1"/>
    <col min="7944" max="8189" width="8.7109375" style="142"/>
    <col min="8190" max="8190" width="12.28515625" style="142" customWidth="1"/>
    <col min="8191" max="8191" width="21" style="142" customWidth="1"/>
    <col min="8192" max="8192" width="15.42578125" style="142" customWidth="1"/>
    <col min="8193" max="8195" width="12.85546875" style="142" customWidth="1"/>
    <col min="8196" max="8196" width="8.7109375" style="142"/>
    <col min="8197" max="8197" width="15.42578125" style="142" customWidth="1"/>
    <col min="8198" max="8198" width="8.7109375" style="142"/>
    <col min="8199" max="8199" width="9.7109375" style="142" customWidth="1"/>
    <col min="8200" max="8445" width="8.7109375" style="142"/>
    <col min="8446" max="8446" width="12.28515625" style="142" customWidth="1"/>
    <col min="8447" max="8447" width="21" style="142" customWidth="1"/>
    <col min="8448" max="8448" width="15.42578125" style="142" customWidth="1"/>
    <col min="8449" max="8451" width="12.85546875" style="142" customWidth="1"/>
    <col min="8452" max="8452" width="8.7109375" style="142"/>
    <col min="8453" max="8453" width="15.42578125" style="142" customWidth="1"/>
    <col min="8454" max="8454" width="8.7109375" style="142"/>
    <col min="8455" max="8455" width="9.7109375" style="142" customWidth="1"/>
    <col min="8456" max="8701" width="8.7109375" style="142"/>
    <col min="8702" max="8702" width="12.28515625" style="142" customWidth="1"/>
    <col min="8703" max="8703" width="21" style="142" customWidth="1"/>
    <col min="8704" max="8704" width="15.42578125" style="142" customWidth="1"/>
    <col min="8705" max="8707" width="12.85546875" style="142" customWidth="1"/>
    <col min="8708" max="8708" width="8.7109375" style="142"/>
    <col min="8709" max="8709" width="15.42578125" style="142" customWidth="1"/>
    <col min="8710" max="8710" width="8.7109375" style="142"/>
    <col min="8711" max="8711" width="9.7109375" style="142" customWidth="1"/>
    <col min="8712" max="8957" width="8.7109375" style="142"/>
    <col min="8958" max="8958" width="12.28515625" style="142" customWidth="1"/>
    <col min="8959" max="8959" width="21" style="142" customWidth="1"/>
    <col min="8960" max="8960" width="15.42578125" style="142" customWidth="1"/>
    <col min="8961" max="8963" width="12.85546875" style="142" customWidth="1"/>
    <col min="8964" max="8964" width="8.7109375" style="142"/>
    <col min="8965" max="8965" width="15.42578125" style="142" customWidth="1"/>
    <col min="8966" max="8966" width="8.7109375" style="142"/>
    <col min="8967" max="8967" width="9.7109375" style="142" customWidth="1"/>
    <col min="8968" max="9213" width="8.7109375" style="142"/>
    <col min="9214" max="9214" width="12.28515625" style="142" customWidth="1"/>
    <col min="9215" max="9215" width="21" style="142" customWidth="1"/>
    <col min="9216" max="9216" width="15.42578125" style="142" customWidth="1"/>
    <col min="9217" max="9219" width="12.85546875" style="142" customWidth="1"/>
    <col min="9220" max="9220" width="8.7109375" style="142"/>
    <col min="9221" max="9221" width="15.42578125" style="142" customWidth="1"/>
    <col min="9222" max="9222" width="8.7109375" style="142"/>
    <col min="9223" max="9223" width="9.7109375" style="142" customWidth="1"/>
    <col min="9224" max="9469" width="8.7109375" style="142"/>
    <col min="9470" max="9470" width="12.28515625" style="142" customWidth="1"/>
    <col min="9471" max="9471" width="21" style="142" customWidth="1"/>
    <col min="9472" max="9472" width="15.42578125" style="142" customWidth="1"/>
    <col min="9473" max="9475" width="12.85546875" style="142" customWidth="1"/>
    <col min="9476" max="9476" width="8.7109375" style="142"/>
    <col min="9477" max="9477" width="15.42578125" style="142" customWidth="1"/>
    <col min="9478" max="9478" width="8.7109375" style="142"/>
    <col min="9479" max="9479" width="9.7109375" style="142" customWidth="1"/>
    <col min="9480" max="9725" width="8.7109375" style="142"/>
    <col min="9726" max="9726" width="12.28515625" style="142" customWidth="1"/>
    <col min="9727" max="9727" width="21" style="142" customWidth="1"/>
    <col min="9728" max="9728" width="15.42578125" style="142" customWidth="1"/>
    <col min="9729" max="9731" width="12.85546875" style="142" customWidth="1"/>
    <col min="9732" max="9732" width="8.7109375" style="142"/>
    <col min="9733" max="9733" width="15.42578125" style="142" customWidth="1"/>
    <col min="9734" max="9734" width="8.7109375" style="142"/>
    <col min="9735" max="9735" width="9.7109375" style="142" customWidth="1"/>
    <col min="9736" max="9981" width="8.7109375" style="142"/>
    <col min="9982" max="9982" width="12.28515625" style="142" customWidth="1"/>
    <col min="9983" max="9983" width="21" style="142" customWidth="1"/>
    <col min="9984" max="9984" width="15.42578125" style="142" customWidth="1"/>
    <col min="9985" max="9987" width="12.85546875" style="142" customWidth="1"/>
    <col min="9988" max="9988" width="8.7109375" style="142"/>
    <col min="9989" max="9989" width="15.42578125" style="142" customWidth="1"/>
    <col min="9990" max="9990" width="8.7109375" style="142"/>
    <col min="9991" max="9991" width="9.7109375" style="142" customWidth="1"/>
    <col min="9992" max="10237" width="8.7109375" style="142"/>
    <col min="10238" max="10238" width="12.28515625" style="142" customWidth="1"/>
    <col min="10239" max="10239" width="21" style="142" customWidth="1"/>
    <col min="10240" max="10240" width="15.42578125" style="142" customWidth="1"/>
    <col min="10241" max="10243" width="12.85546875" style="142" customWidth="1"/>
    <col min="10244" max="10244" width="8.7109375" style="142"/>
    <col min="10245" max="10245" width="15.42578125" style="142" customWidth="1"/>
    <col min="10246" max="10246" width="8.7109375" style="142"/>
    <col min="10247" max="10247" width="9.7109375" style="142" customWidth="1"/>
    <col min="10248" max="10493" width="8.7109375" style="142"/>
    <col min="10494" max="10494" width="12.28515625" style="142" customWidth="1"/>
    <col min="10495" max="10495" width="21" style="142" customWidth="1"/>
    <col min="10496" max="10496" width="15.42578125" style="142" customWidth="1"/>
    <col min="10497" max="10499" width="12.85546875" style="142" customWidth="1"/>
    <col min="10500" max="10500" width="8.7109375" style="142"/>
    <col min="10501" max="10501" width="15.42578125" style="142" customWidth="1"/>
    <col min="10502" max="10502" width="8.7109375" style="142"/>
    <col min="10503" max="10503" width="9.7109375" style="142" customWidth="1"/>
    <col min="10504" max="10749" width="8.7109375" style="142"/>
    <col min="10750" max="10750" width="12.28515625" style="142" customWidth="1"/>
    <col min="10751" max="10751" width="21" style="142" customWidth="1"/>
    <col min="10752" max="10752" width="15.42578125" style="142" customWidth="1"/>
    <col min="10753" max="10755" width="12.85546875" style="142" customWidth="1"/>
    <col min="10756" max="10756" width="8.7109375" style="142"/>
    <col min="10757" max="10757" width="15.42578125" style="142" customWidth="1"/>
    <col min="10758" max="10758" width="8.7109375" style="142"/>
    <col min="10759" max="10759" width="9.7109375" style="142" customWidth="1"/>
    <col min="10760" max="11005" width="8.7109375" style="142"/>
    <col min="11006" max="11006" width="12.28515625" style="142" customWidth="1"/>
    <col min="11007" max="11007" width="21" style="142" customWidth="1"/>
    <col min="11008" max="11008" width="15.42578125" style="142" customWidth="1"/>
    <col min="11009" max="11011" width="12.85546875" style="142" customWidth="1"/>
    <col min="11012" max="11012" width="8.7109375" style="142"/>
    <col min="11013" max="11013" width="15.42578125" style="142" customWidth="1"/>
    <col min="11014" max="11014" width="8.7109375" style="142"/>
    <col min="11015" max="11015" width="9.7109375" style="142" customWidth="1"/>
    <col min="11016" max="11261" width="8.7109375" style="142"/>
    <col min="11262" max="11262" width="12.28515625" style="142" customWidth="1"/>
    <col min="11263" max="11263" width="21" style="142" customWidth="1"/>
    <col min="11264" max="11264" width="15.42578125" style="142" customWidth="1"/>
    <col min="11265" max="11267" width="12.85546875" style="142" customWidth="1"/>
    <col min="11268" max="11268" width="8.7109375" style="142"/>
    <col min="11269" max="11269" width="15.42578125" style="142" customWidth="1"/>
    <col min="11270" max="11270" width="8.7109375" style="142"/>
    <col min="11271" max="11271" width="9.7109375" style="142" customWidth="1"/>
    <col min="11272" max="11517" width="8.7109375" style="142"/>
    <col min="11518" max="11518" width="12.28515625" style="142" customWidth="1"/>
    <col min="11519" max="11519" width="21" style="142" customWidth="1"/>
    <col min="11520" max="11520" width="15.42578125" style="142" customWidth="1"/>
    <col min="11521" max="11523" width="12.85546875" style="142" customWidth="1"/>
    <col min="11524" max="11524" width="8.7109375" style="142"/>
    <col min="11525" max="11525" width="15.42578125" style="142" customWidth="1"/>
    <col min="11526" max="11526" width="8.7109375" style="142"/>
    <col min="11527" max="11527" width="9.7109375" style="142" customWidth="1"/>
    <col min="11528" max="11773" width="8.7109375" style="142"/>
    <col min="11774" max="11774" width="12.28515625" style="142" customWidth="1"/>
    <col min="11775" max="11775" width="21" style="142" customWidth="1"/>
    <col min="11776" max="11776" width="15.42578125" style="142" customWidth="1"/>
    <col min="11777" max="11779" width="12.85546875" style="142" customWidth="1"/>
    <col min="11780" max="11780" width="8.7109375" style="142"/>
    <col min="11781" max="11781" width="15.42578125" style="142" customWidth="1"/>
    <col min="11782" max="11782" width="8.7109375" style="142"/>
    <col min="11783" max="11783" width="9.7109375" style="142" customWidth="1"/>
    <col min="11784" max="12029" width="8.7109375" style="142"/>
    <col min="12030" max="12030" width="12.28515625" style="142" customWidth="1"/>
    <col min="12031" max="12031" width="21" style="142" customWidth="1"/>
    <col min="12032" max="12032" width="15.42578125" style="142" customWidth="1"/>
    <col min="12033" max="12035" width="12.85546875" style="142" customWidth="1"/>
    <col min="12036" max="12036" width="8.7109375" style="142"/>
    <col min="12037" max="12037" width="15.42578125" style="142" customWidth="1"/>
    <col min="12038" max="12038" width="8.7109375" style="142"/>
    <col min="12039" max="12039" width="9.7109375" style="142" customWidth="1"/>
    <col min="12040" max="12285" width="8.7109375" style="142"/>
    <col min="12286" max="12286" width="12.28515625" style="142" customWidth="1"/>
    <col min="12287" max="12287" width="21" style="142" customWidth="1"/>
    <col min="12288" max="12288" width="15.42578125" style="142" customWidth="1"/>
    <col min="12289" max="12291" width="12.85546875" style="142" customWidth="1"/>
    <col min="12292" max="12292" width="8.7109375" style="142"/>
    <col min="12293" max="12293" width="15.42578125" style="142" customWidth="1"/>
    <col min="12294" max="12294" width="8.7109375" style="142"/>
    <col min="12295" max="12295" width="9.7109375" style="142" customWidth="1"/>
    <col min="12296" max="12541" width="8.7109375" style="142"/>
    <col min="12542" max="12542" width="12.28515625" style="142" customWidth="1"/>
    <col min="12543" max="12543" width="21" style="142" customWidth="1"/>
    <col min="12544" max="12544" width="15.42578125" style="142" customWidth="1"/>
    <col min="12545" max="12547" width="12.85546875" style="142" customWidth="1"/>
    <col min="12548" max="12548" width="8.7109375" style="142"/>
    <col min="12549" max="12549" width="15.42578125" style="142" customWidth="1"/>
    <col min="12550" max="12550" width="8.7109375" style="142"/>
    <col min="12551" max="12551" width="9.7109375" style="142" customWidth="1"/>
    <col min="12552" max="12797" width="8.7109375" style="142"/>
    <col min="12798" max="12798" width="12.28515625" style="142" customWidth="1"/>
    <col min="12799" max="12799" width="21" style="142" customWidth="1"/>
    <col min="12800" max="12800" width="15.42578125" style="142" customWidth="1"/>
    <col min="12801" max="12803" width="12.85546875" style="142" customWidth="1"/>
    <col min="12804" max="12804" width="8.7109375" style="142"/>
    <col min="12805" max="12805" width="15.42578125" style="142" customWidth="1"/>
    <col min="12806" max="12806" width="8.7109375" style="142"/>
    <col min="12807" max="12807" width="9.7109375" style="142" customWidth="1"/>
    <col min="12808" max="13053" width="8.7109375" style="142"/>
    <col min="13054" max="13054" width="12.28515625" style="142" customWidth="1"/>
    <col min="13055" max="13055" width="21" style="142" customWidth="1"/>
    <col min="13056" max="13056" width="15.42578125" style="142" customWidth="1"/>
    <col min="13057" max="13059" width="12.85546875" style="142" customWidth="1"/>
    <col min="13060" max="13060" width="8.7109375" style="142"/>
    <col min="13061" max="13061" width="15.42578125" style="142" customWidth="1"/>
    <col min="13062" max="13062" width="8.7109375" style="142"/>
    <col min="13063" max="13063" width="9.7109375" style="142" customWidth="1"/>
    <col min="13064" max="13309" width="8.7109375" style="142"/>
    <col min="13310" max="13310" width="12.28515625" style="142" customWidth="1"/>
    <col min="13311" max="13311" width="21" style="142" customWidth="1"/>
    <col min="13312" max="13312" width="15.42578125" style="142" customWidth="1"/>
    <col min="13313" max="13315" width="12.85546875" style="142" customWidth="1"/>
    <col min="13316" max="13316" width="8.7109375" style="142"/>
    <col min="13317" max="13317" width="15.42578125" style="142" customWidth="1"/>
    <col min="13318" max="13318" width="8.7109375" style="142"/>
    <col min="13319" max="13319" width="9.7109375" style="142" customWidth="1"/>
    <col min="13320" max="13565" width="8.7109375" style="142"/>
    <col min="13566" max="13566" width="12.28515625" style="142" customWidth="1"/>
    <col min="13567" max="13567" width="21" style="142" customWidth="1"/>
    <col min="13568" max="13568" width="15.42578125" style="142" customWidth="1"/>
    <col min="13569" max="13571" width="12.85546875" style="142" customWidth="1"/>
    <col min="13572" max="13572" width="8.7109375" style="142"/>
    <col min="13573" max="13573" width="15.42578125" style="142" customWidth="1"/>
    <col min="13574" max="13574" width="8.7109375" style="142"/>
    <col min="13575" max="13575" width="9.7109375" style="142" customWidth="1"/>
    <col min="13576" max="13821" width="8.7109375" style="142"/>
    <col min="13822" max="13822" width="12.28515625" style="142" customWidth="1"/>
    <col min="13823" max="13823" width="21" style="142" customWidth="1"/>
    <col min="13824" max="13824" width="15.42578125" style="142" customWidth="1"/>
    <col min="13825" max="13827" width="12.85546875" style="142" customWidth="1"/>
    <col min="13828" max="13828" width="8.7109375" style="142"/>
    <col min="13829" max="13829" width="15.42578125" style="142" customWidth="1"/>
    <col min="13830" max="13830" width="8.7109375" style="142"/>
    <col min="13831" max="13831" width="9.7109375" style="142" customWidth="1"/>
    <col min="13832" max="14077" width="8.7109375" style="142"/>
    <col min="14078" max="14078" width="12.28515625" style="142" customWidth="1"/>
    <col min="14079" max="14079" width="21" style="142" customWidth="1"/>
    <col min="14080" max="14080" width="15.42578125" style="142" customWidth="1"/>
    <col min="14081" max="14083" width="12.85546875" style="142" customWidth="1"/>
    <col min="14084" max="14084" width="8.7109375" style="142"/>
    <col min="14085" max="14085" width="15.42578125" style="142" customWidth="1"/>
    <col min="14086" max="14086" width="8.7109375" style="142"/>
    <col min="14087" max="14087" width="9.7109375" style="142" customWidth="1"/>
    <col min="14088" max="14333" width="8.7109375" style="142"/>
    <col min="14334" max="14334" width="12.28515625" style="142" customWidth="1"/>
    <col min="14335" max="14335" width="21" style="142" customWidth="1"/>
    <col min="14336" max="14336" width="15.42578125" style="142" customWidth="1"/>
    <col min="14337" max="14339" width="12.85546875" style="142" customWidth="1"/>
    <col min="14340" max="14340" width="8.7109375" style="142"/>
    <col min="14341" max="14341" width="15.42578125" style="142" customWidth="1"/>
    <col min="14342" max="14342" width="8.7109375" style="142"/>
    <col min="14343" max="14343" width="9.7109375" style="142" customWidth="1"/>
    <col min="14344" max="14589" width="8.7109375" style="142"/>
    <col min="14590" max="14590" width="12.28515625" style="142" customWidth="1"/>
    <col min="14591" max="14591" width="21" style="142" customWidth="1"/>
    <col min="14592" max="14592" width="15.42578125" style="142" customWidth="1"/>
    <col min="14593" max="14595" width="12.85546875" style="142" customWidth="1"/>
    <col min="14596" max="14596" width="8.7109375" style="142"/>
    <col min="14597" max="14597" width="15.42578125" style="142" customWidth="1"/>
    <col min="14598" max="14598" width="8.7109375" style="142"/>
    <col min="14599" max="14599" width="9.7109375" style="142" customWidth="1"/>
    <col min="14600" max="14845" width="8.7109375" style="142"/>
    <col min="14846" max="14846" width="12.28515625" style="142" customWidth="1"/>
    <col min="14847" max="14847" width="21" style="142" customWidth="1"/>
    <col min="14848" max="14848" width="15.42578125" style="142" customWidth="1"/>
    <col min="14849" max="14851" width="12.85546875" style="142" customWidth="1"/>
    <col min="14852" max="14852" width="8.7109375" style="142"/>
    <col min="14853" max="14853" width="15.42578125" style="142" customWidth="1"/>
    <col min="14854" max="14854" width="8.7109375" style="142"/>
    <col min="14855" max="14855" width="9.7109375" style="142" customWidth="1"/>
    <col min="14856" max="15101" width="8.7109375" style="142"/>
    <col min="15102" max="15102" width="12.28515625" style="142" customWidth="1"/>
    <col min="15103" max="15103" width="21" style="142" customWidth="1"/>
    <col min="15104" max="15104" width="15.42578125" style="142" customWidth="1"/>
    <col min="15105" max="15107" width="12.85546875" style="142" customWidth="1"/>
    <col min="15108" max="15108" width="8.7109375" style="142"/>
    <col min="15109" max="15109" width="15.42578125" style="142" customWidth="1"/>
    <col min="15110" max="15110" width="8.7109375" style="142"/>
    <col min="15111" max="15111" width="9.7109375" style="142" customWidth="1"/>
    <col min="15112" max="15357" width="8.7109375" style="142"/>
    <col min="15358" max="15358" width="12.28515625" style="142" customWidth="1"/>
    <col min="15359" max="15359" width="21" style="142" customWidth="1"/>
    <col min="15360" max="15360" width="15.42578125" style="142" customWidth="1"/>
    <col min="15361" max="15363" width="12.85546875" style="142" customWidth="1"/>
    <col min="15364" max="15364" width="8.7109375" style="142"/>
    <col min="15365" max="15365" width="15.42578125" style="142" customWidth="1"/>
    <col min="15366" max="15366" width="8.7109375" style="142"/>
    <col min="15367" max="15367" width="9.7109375" style="142" customWidth="1"/>
    <col min="15368" max="15613" width="8.7109375" style="142"/>
    <col min="15614" max="15614" width="12.28515625" style="142" customWidth="1"/>
    <col min="15615" max="15615" width="21" style="142" customWidth="1"/>
    <col min="15616" max="15616" width="15.42578125" style="142" customWidth="1"/>
    <col min="15617" max="15619" width="12.85546875" style="142" customWidth="1"/>
    <col min="15620" max="15620" width="8.7109375" style="142"/>
    <col min="15621" max="15621" width="15.42578125" style="142" customWidth="1"/>
    <col min="15622" max="15622" width="8.7109375" style="142"/>
    <col min="15623" max="15623" width="9.7109375" style="142" customWidth="1"/>
    <col min="15624" max="15869" width="8.7109375" style="142"/>
    <col min="15870" max="15870" width="12.28515625" style="142" customWidth="1"/>
    <col min="15871" max="15871" width="21" style="142" customWidth="1"/>
    <col min="15872" max="15872" width="15.42578125" style="142" customWidth="1"/>
    <col min="15873" max="15875" width="12.85546875" style="142" customWidth="1"/>
    <col min="15876" max="15876" width="8.7109375" style="142"/>
    <col min="15877" max="15877" width="15.42578125" style="142" customWidth="1"/>
    <col min="15878" max="15878" width="8.7109375" style="142"/>
    <col min="15879" max="15879" width="9.7109375" style="142" customWidth="1"/>
    <col min="15880" max="16125" width="8.7109375" style="142"/>
    <col min="16126" max="16126" width="12.28515625" style="142" customWidth="1"/>
    <col min="16127" max="16127" width="21" style="142" customWidth="1"/>
    <col min="16128" max="16128" width="15.42578125" style="142" customWidth="1"/>
    <col min="16129" max="16131" width="12.85546875" style="142" customWidth="1"/>
    <col min="16132" max="16132" width="8.7109375" style="142"/>
    <col min="16133" max="16133" width="15.42578125" style="142" customWidth="1"/>
    <col min="16134" max="16134" width="8.7109375" style="142"/>
    <col min="16135" max="16135" width="9.7109375" style="142" customWidth="1"/>
    <col min="16136" max="16384" width="8.7109375" style="142"/>
  </cols>
  <sheetData>
    <row r="1" spans="1:7" s="273" customFormat="1" ht="18" x14ac:dyDescent="0.2">
      <c r="A1" s="268" t="s">
        <v>34</v>
      </c>
      <c r="B1" s="269"/>
      <c r="C1" s="270"/>
      <c r="D1" s="270"/>
      <c r="E1" s="270"/>
      <c r="F1" s="272"/>
      <c r="G1" s="272"/>
    </row>
    <row r="2" spans="1:7" ht="18" x14ac:dyDescent="0.25">
      <c r="A2" s="362" t="s">
        <v>245</v>
      </c>
      <c r="B2" s="363"/>
      <c r="C2" s="363"/>
      <c r="D2" s="363"/>
      <c r="E2" s="363"/>
      <c r="F2" s="322"/>
      <c r="G2" s="322"/>
    </row>
    <row r="3" spans="1:7" ht="15.75" x14ac:dyDescent="0.2">
      <c r="A3" s="297"/>
      <c r="B3" s="322"/>
      <c r="C3" s="322"/>
      <c r="D3" s="322"/>
      <c r="E3" s="322"/>
      <c r="F3" s="322"/>
      <c r="G3" s="322"/>
    </row>
    <row r="4" spans="1:7" ht="79.5" customHeight="1" x14ac:dyDescent="0.2">
      <c r="A4" s="364" t="s">
        <v>246</v>
      </c>
      <c r="B4" s="365"/>
      <c r="C4" s="365"/>
      <c r="D4" s="365"/>
      <c r="E4" s="365"/>
      <c r="F4" s="322"/>
      <c r="G4" s="322"/>
    </row>
    <row r="5" spans="1:7" ht="15" x14ac:dyDescent="0.2">
      <c r="A5" s="298"/>
      <c r="B5" s="299"/>
      <c r="C5" s="299"/>
      <c r="D5" s="299"/>
      <c r="E5" s="299"/>
      <c r="F5" s="322"/>
      <c r="G5" s="322"/>
    </row>
    <row r="6" spans="1:7" ht="45" x14ac:dyDescent="0.25">
      <c r="A6" s="366" t="s">
        <v>247</v>
      </c>
      <c r="B6" s="367"/>
      <c r="C6" s="344" t="s">
        <v>248</v>
      </c>
      <c r="D6" s="344" t="s">
        <v>249</v>
      </c>
      <c r="E6" s="300" t="s">
        <v>250</v>
      </c>
      <c r="F6" s="322"/>
      <c r="G6" s="322"/>
    </row>
    <row r="7" spans="1:7" ht="15" x14ac:dyDescent="0.25">
      <c r="A7" s="301" t="s">
        <v>251</v>
      </c>
      <c r="B7" s="302"/>
      <c r="C7" s="301"/>
      <c r="D7" s="301"/>
      <c r="E7" s="301"/>
      <c r="F7" s="322"/>
      <c r="G7" s="322"/>
    </row>
    <row r="8" spans="1:7" ht="15" x14ac:dyDescent="0.25">
      <c r="A8" s="303" t="s">
        <v>58</v>
      </c>
      <c r="B8" s="303" t="s">
        <v>252</v>
      </c>
      <c r="C8" s="170">
        <v>10000</v>
      </c>
      <c r="D8" s="170">
        <v>15000</v>
      </c>
      <c r="E8" s="301"/>
      <c r="F8" s="322"/>
      <c r="G8" s="322"/>
    </row>
    <row r="9" spans="1:7" ht="15" x14ac:dyDescent="0.25">
      <c r="A9" s="304"/>
      <c r="B9" s="305"/>
      <c r="C9" s="305"/>
      <c r="D9" s="322"/>
      <c r="E9" s="306"/>
      <c r="F9" s="322"/>
      <c r="G9" s="322"/>
    </row>
    <row r="10" spans="1:7" ht="15" x14ac:dyDescent="0.25">
      <c r="A10" s="360" t="s">
        <v>164</v>
      </c>
      <c r="B10" s="361"/>
      <c r="C10" s="361"/>
      <c r="D10" s="361"/>
      <c r="E10" s="361"/>
      <c r="F10" s="322"/>
      <c r="G10" s="322"/>
    </row>
    <row r="11" spans="1:7" ht="42.75" x14ac:dyDescent="0.2">
      <c r="A11" s="307" t="s">
        <v>55</v>
      </c>
      <c r="B11" s="307" t="s">
        <v>253</v>
      </c>
      <c r="C11" s="197">
        <v>333000</v>
      </c>
      <c r="D11" s="197">
        <v>134284</v>
      </c>
      <c r="E11" s="321" t="s">
        <v>254</v>
      </c>
      <c r="F11" s="322"/>
      <c r="G11" s="322"/>
    </row>
    <row r="12" spans="1:7" ht="14.25" x14ac:dyDescent="0.2">
      <c r="A12" s="307" t="s">
        <v>255</v>
      </c>
      <c r="B12" s="307" t="s">
        <v>256</v>
      </c>
      <c r="C12" s="197">
        <v>1404126</v>
      </c>
      <c r="D12" s="197">
        <v>1404126</v>
      </c>
      <c r="E12" s="308"/>
      <c r="F12" s="322"/>
      <c r="G12" s="322"/>
    </row>
    <row r="13" spans="1:7" ht="14.25" x14ac:dyDescent="0.2">
      <c r="A13" s="307" t="s">
        <v>257</v>
      </c>
      <c r="B13" s="307" t="s">
        <v>165</v>
      </c>
      <c r="C13" s="197">
        <v>2875518</v>
      </c>
      <c r="D13" s="197">
        <v>2598126</v>
      </c>
      <c r="E13" s="308"/>
      <c r="F13" s="322"/>
      <c r="G13" s="322"/>
    </row>
    <row r="14" spans="1:7" ht="14.25" x14ac:dyDescent="0.2">
      <c r="A14" s="307" t="s">
        <v>58</v>
      </c>
      <c r="B14" s="307" t="s">
        <v>258</v>
      </c>
      <c r="C14" s="197">
        <v>175000</v>
      </c>
      <c r="D14" s="197">
        <v>175000</v>
      </c>
      <c r="E14" s="309"/>
      <c r="F14" s="322"/>
      <c r="G14" s="322"/>
    </row>
    <row r="15" spans="1:7" ht="14.25" x14ac:dyDescent="0.2">
      <c r="A15" s="310"/>
      <c r="B15" s="310"/>
      <c r="C15" s="310"/>
      <c r="D15" s="311"/>
      <c r="E15" s="312"/>
      <c r="F15" s="322"/>
      <c r="G15" s="322"/>
    </row>
    <row r="16" spans="1:7" ht="15" x14ac:dyDescent="0.25">
      <c r="A16" s="360" t="s">
        <v>168</v>
      </c>
      <c r="B16" s="361"/>
      <c r="C16" s="361"/>
      <c r="D16" s="361"/>
      <c r="E16" s="361"/>
      <c r="F16" s="322"/>
      <c r="G16" s="322"/>
    </row>
    <row r="17" spans="1:5" ht="14.25" x14ac:dyDescent="0.2">
      <c r="A17" s="322"/>
      <c r="B17" s="307" t="s">
        <v>259</v>
      </c>
      <c r="C17" s="197">
        <v>250000</v>
      </c>
      <c r="D17" s="197">
        <v>250000</v>
      </c>
      <c r="E17" s="308"/>
    </row>
    <row r="18" spans="1:5" ht="14.25" x14ac:dyDescent="0.2">
      <c r="A18" s="322"/>
      <c r="B18" s="307" t="s">
        <v>157</v>
      </c>
      <c r="C18" s="197">
        <v>0</v>
      </c>
      <c r="D18" s="197">
        <v>0</v>
      </c>
      <c r="E18" s="309"/>
    </row>
    <row r="19" spans="1:5" ht="14.25" x14ac:dyDescent="0.2">
      <c r="A19" s="310"/>
      <c r="B19" s="310"/>
      <c r="C19" s="310"/>
      <c r="D19" s="311"/>
      <c r="E19" s="312"/>
    </row>
    <row r="20" spans="1:5" ht="15" x14ac:dyDescent="0.25">
      <c r="A20" s="360" t="s">
        <v>171</v>
      </c>
      <c r="B20" s="361"/>
      <c r="C20" s="361"/>
      <c r="D20" s="361"/>
      <c r="E20" s="361"/>
    </row>
    <row r="21" spans="1:5" ht="14.25" x14ac:dyDescent="0.2">
      <c r="A21" s="322"/>
      <c r="B21" s="307" t="s">
        <v>260</v>
      </c>
      <c r="C21" s="197">
        <v>225000</v>
      </c>
      <c r="D21" s="197">
        <v>225000</v>
      </c>
      <c r="E21" s="308"/>
    </row>
    <row r="22" spans="1:5" ht="14.25" x14ac:dyDescent="0.2">
      <c r="A22" s="322"/>
      <c r="B22" s="307" t="s">
        <v>157</v>
      </c>
      <c r="C22" s="197">
        <v>0</v>
      </c>
      <c r="D22" s="197">
        <v>0</v>
      </c>
      <c r="E22" s="309"/>
    </row>
    <row r="23" spans="1:5" ht="14.25" x14ac:dyDescent="0.2">
      <c r="A23" s="310"/>
      <c r="B23" s="310"/>
      <c r="C23" s="310"/>
      <c r="D23" s="311"/>
      <c r="E23" s="312"/>
    </row>
    <row r="24" spans="1:5" ht="15" x14ac:dyDescent="0.25">
      <c r="A24" s="360" t="s">
        <v>172</v>
      </c>
      <c r="B24" s="361"/>
      <c r="C24" s="361"/>
      <c r="D24" s="361"/>
      <c r="E24" s="361"/>
    </row>
    <row r="25" spans="1:5" ht="14.25" x14ac:dyDescent="0.2">
      <c r="A25" s="322"/>
      <c r="B25" s="307" t="s">
        <v>157</v>
      </c>
      <c r="C25" s="197">
        <v>0</v>
      </c>
      <c r="D25" s="197">
        <v>0</v>
      </c>
      <c r="E25" s="308"/>
    </row>
    <row r="26" spans="1:5" ht="14.25" x14ac:dyDescent="0.2">
      <c r="A26" s="322"/>
      <c r="B26" s="307" t="s">
        <v>157</v>
      </c>
      <c r="C26" s="197">
        <v>0</v>
      </c>
      <c r="D26" s="197">
        <v>0</v>
      </c>
      <c r="E26" s="309"/>
    </row>
    <row r="27" spans="1:5" ht="14.25" x14ac:dyDescent="0.2">
      <c r="A27" s="310"/>
      <c r="B27" s="310"/>
      <c r="C27" s="310"/>
      <c r="D27" s="311"/>
      <c r="E27" s="312"/>
    </row>
    <row r="28" spans="1:5" ht="15" x14ac:dyDescent="0.25">
      <c r="A28" s="360" t="s">
        <v>173</v>
      </c>
      <c r="B28" s="361"/>
      <c r="C28" s="361"/>
      <c r="D28" s="361"/>
      <c r="E28" s="361"/>
    </row>
    <row r="29" spans="1:5" ht="42.75" x14ac:dyDescent="0.2">
      <c r="A29" s="322"/>
      <c r="B29" s="307" t="s">
        <v>174</v>
      </c>
      <c r="C29" s="197">
        <v>122752</v>
      </c>
      <c r="D29" s="197">
        <f>639282</f>
        <v>639282</v>
      </c>
      <c r="E29" s="321" t="s">
        <v>261</v>
      </c>
    </row>
    <row r="30" spans="1:5" ht="14.25" x14ac:dyDescent="0.2">
      <c r="A30" s="322"/>
      <c r="B30" s="307" t="s">
        <v>157</v>
      </c>
      <c r="C30" s="197">
        <v>0</v>
      </c>
      <c r="D30" s="197">
        <v>0</v>
      </c>
      <c r="E30" s="309"/>
    </row>
    <row r="31" spans="1:5" ht="14.25" x14ac:dyDescent="0.2">
      <c r="A31" s="310"/>
      <c r="B31" s="310"/>
      <c r="C31" s="310"/>
      <c r="D31" s="311"/>
      <c r="E31" s="312"/>
    </row>
    <row r="32" spans="1:5" ht="15" x14ac:dyDescent="0.25">
      <c r="A32" s="360" t="s">
        <v>175</v>
      </c>
      <c r="B32" s="361"/>
      <c r="C32" s="361"/>
      <c r="D32" s="361"/>
      <c r="E32" s="361"/>
    </row>
    <row r="33" spans="1:5" ht="14.25" x14ac:dyDescent="0.2">
      <c r="A33" s="322"/>
      <c r="B33" s="307" t="s">
        <v>157</v>
      </c>
      <c r="C33" s="197">
        <v>0</v>
      </c>
      <c r="D33" s="197">
        <v>0</v>
      </c>
      <c r="E33" s="308"/>
    </row>
    <row r="34" spans="1:5" ht="14.25" x14ac:dyDescent="0.2">
      <c r="A34" s="322"/>
      <c r="B34" s="307" t="s">
        <v>157</v>
      </c>
      <c r="C34" s="197">
        <v>0</v>
      </c>
      <c r="D34" s="197">
        <v>0</v>
      </c>
      <c r="E34" s="309"/>
    </row>
    <row r="35" spans="1:5" x14ac:dyDescent="0.2">
      <c r="A35" s="313"/>
      <c r="B35" s="313"/>
      <c r="C35" s="313"/>
      <c r="D35" s="313"/>
      <c r="E35" s="314"/>
    </row>
    <row r="36" spans="1:5" ht="15" x14ac:dyDescent="0.25">
      <c r="A36" s="360" t="s">
        <v>176</v>
      </c>
      <c r="B36" s="360"/>
      <c r="C36" s="315">
        <f>SUM(C10:C35)</f>
        <v>5385396</v>
      </c>
      <c r="D36" s="315">
        <f>SUM(D10:D35)</f>
        <v>5425818</v>
      </c>
      <c r="E36" s="316"/>
    </row>
    <row r="37" spans="1:5" x14ac:dyDescent="0.2">
      <c r="A37" s="317"/>
      <c r="B37" s="317"/>
      <c r="C37" s="317"/>
      <c r="D37" s="317"/>
      <c r="E37" s="317"/>
    </row>
    <row r="38" spans="1:5" x14ac:dyDescent="0.2">
      <c r="A38" s="368"/>
      <c r="B38" s="361"/>
      <c r="C38" s="361"/>
      <c r="D38" s="361"/>
      <c r="E38" s="361"/>
    </row>
  </sheetData>
  <sheetProtection algorithmName="SHA-512" hashValue="mGZO2atJni/zfVL2QyKNVpX0x/K5LCy4V2xGCpv3b8aIinB8UAZP9FGJaSAYP9muyVoflxGBIe1OnrtJ06k+BQ==" saltValue="ol7L6aqJcuJhduC+exGRdg==" spinCount="100000" sheet="1" objects="1" scenarios="1"/>
  <mergeCells count="11">
    <mergeCell ref="A24:E24"/>
    <mergeCell ref="A28:E28"/>
    <mergeCell ref="A32:E32"/>
    <mergeCell ref="A36:B36"/>
    <mergeCell ref="A38:E38"/>
    <mergeCell ref="A20:E20"/>
    <mergeCell ref="A2:E2"/>
    <mergeCell ref="A4:E4"/>
    <mergeCell ref="A6:B6"/>
    <mergeCell ref="A10:E10"/>
    <mergeCell ref="A16:E16"/>
  </mergeCells>
  <pageMargins left="0.7" right="0.7" top="0.75" bottom="0.75" header="0.3" footer="0.3"/>
  <pageSetup scale="79" firstPageNumber="8" orientation="portrait" r:id="rId1"/>
  <headerFooter>
    <oddFooter>&amp;LCity of Santa Monica
Exhibit C3 – Program Budget&amp;C&amp;P&amp;RFiscal Year 2021-22
Human Services Grants Program</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2.75" x14ac:dyDescent="0.2"/>
  <sheetData/>
  <pageMargins left="0.7" right="0.7" top="0.75" bottom="0.75" header="0.3" footer="0.3"/>
  <pageSetup orientation="portrait" horizontalDpi="4294967293"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95278F51-CB1B-4297-91C6-35C450B7000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503424b-3e12-4ddd-ab41-5c8973ad5bb3"/>
    <ds:schemaRef ds:uri="bdb8ef80-3d76-4f2b-ba95-731db74cbb7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7D4D97A-7F06-4E8D-98A9-7DE62E8788CF}">
  <ds:schemaRefs>
    <ds:schemaRef ds:uri="http://schemas.microsoft.com/office/2006/metadata/properties"/>
    <ds:schemaRef ds:uri="http://schemas.microsoft.com/office/infopath/2007/PartnerControls"/>
    <ds:schemaRef ds:uri="daf46ea9-1fb0-4df5-b00f-12140a5586ec"/>
    <ds:schemaRef ds:uri="bdb8ef80-3d76-4f2b-ba95-731db74cbb70"/>
    <ds:schemaRef ds:uri="c503424b-3e12-4ddd-ab41-5c8973ad5bb3"/>
  </ds:schemaRefs>
</ds:datastoreItem>
</file>

<file path=customXml/itemProps4.xml><?xml version="1.0" encoding="utf-8"?>
<ds:datastoreItem xmlns:ds="http://schemas.openxmlformats.org/officeDocument/2006/customXml" ds:itemID="{6DCC06EF-B43B-4BD3-92E2-8FC8B0FB07E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INSTRUCTIONS</vt:lpstr>
      <vt:lpstr>Worksheet</vt:lpstr>
      <vt:lpstr>PROGRAM BUDGET &amp; FISCAL REPORT</vt:lpstr>
      <vt:lpstr>PARTICIPANTS &amp; DEMOGRAPHICS</vt:lpstr>
      <vt:lpstr>CASH MATCH</vt:lpstr>
      <vt:lpstr>AGENCY FUNDING SOURCES</vt:lpstr>
      <vt:lpstr>'AGENCY FUNDING SOURCES'!Print_Area</vt:lpstr>
      <vt:lpstr>'PROGRAM BUDGET &amp; FISCAL REPORT'!Print_Area</vt:lpstr>
      <vt:lpstr>Worksheet!Print_Area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dcterms:created xsi:type="dcterms:W3CDTF">1999-10-15T17:33:56Z</dcterms:created>
  <dcterms:modified xsi:type="dcterms:W3CDTF">2023-02-23T20:08:58Z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0x01010063B3EA2F09E89246A99484D285A4022E</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ESRI_WORKBOOK_ID">
    <vt:lpwstr>d4cf3feb028a4a33a3f0d0fd33a264b5</vt:lpwstr>
  </property>
  <property fmtid="{D5CDD505-2E9C-101B-9397-08002B2CF9AE}" pid="11" name="MediaServiceImageTags">
    <vt:lpwstr/>
  </property>
</Properties>
</file>