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46" documentId="8_{8A73B64D-C5EF-4BFC-8BE0-1C3E6C5D57DC}" xr6:coauthVersionLast="46" xr6:coauthVersionMax="47" xr10:uidLastSave="{6B986CB9-A4CD-4D16-8C54-571760CCB591}"/>
  <workbookProtection workbookAlgorithmName="SHA-512" workbookHashValue="x8UznehBLAsgq5TWX2cX3H+sLotOra+lSgY/qkyooCk5qwAKKvcS6xzEebmGpcU89iFZvjSBS51Uw9N9V6Yvrg==" workbookSaltValue="yMjeTSgQW1JFGzCe0MvKr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SOURCES'!$A$1:$E$37</definedName>
    <definedName name="_xlnm.Print_Area" localSheetId="1">'PROGRAM BUDGET &amp; FISCAL REPORT'!$A$1:$N$125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9" l="1"/>
  <c r="N31" i="19"/>
  <c r="K31" i="19"/>
  <c r="J31" i="19"/>
  <c r="J34" i="19" s="1"/>
  <c r="H31" i="19"/>
  <c r="H34" i="19" s="1"/>
  <c r="G31" i="19"/>
  <c r="N28" i="19"/>
  <c r="K28" i="19"/>
  <c r="J28" i="19"/>
  <c r="H28" i="19"/>
  <c r="G28" i="19"/>
  <c r="D31" i="19"/>
  <c r="D28" i="19"/>
  <c r="K34" i="19" l="1"/>
  <c r="G34" i="19"/>
  <c r="N34" i="19"/>
  <c r="L59" i="19" l="1"/>
  <c r="M59" i="19" s="1"/>
  <c r="G59" i="19"/>
  <c r="I59" i="19" s="1"/>
  <c r="L60" i="19"/>
  <c r="M60" i="19" s="1"/>
  <c r="I60" i="19"/>
  <c r="D11" i="30"/>
  <c r="C11" i="30"/>
  <c r="D13" i="30"/>
  <c r="H41" i="19"/>
  <c r="G53" i="19"/>
  <c r="G58" i="19"/>
  <c r="G57" i="19"/>
  <c r="G52" i="19"/>
  <c r="G54" i="19"/>
  <c r="D23" i="26" l="1"/>
  <c r="C23" i="26"/>
  <c r="B23" i="26"/>
  <c r="K122" i="19"/>
  <c r="J122" i="19"/>
  <c r="I122" i="19"/>
  <c r="C4" i="14"/>
  <c r="C3" i="14"/>
  <c r="N78" i="19"/>
  <c r="I47" i="26" l="1"/>
  <c r="E47" i="26"/>
  <c r="C35" i="30" l="1"/>
  <c r="D35" i="30"/>
  <c r="D13" i="19" l="1"/>
  <c r="D12" i="19"/>
  <c r="D11" i="19"/>
  <c r="D10" i="19"/>
  <c r="D9" i="19"/>
  <c r="L121" i="19" l="1"/>
  <c r="L120" i="19"/>
  <c r="L118" i="19"/>
  <c r="L117" i="19"/>
  <c r="L115" i="19"/>
  <c r="L114" i="19"/>
  <c r="L112" i="19"/>
  <c r="L111" i="19"/>
  <c r="L109" i="19"/>
  <c r="L108" i="19"/>
  <c r="L106" i="19"/>
  <c r="L105" i="19"/>
  <c r="D8" i="19"/>
  <c r="D7" i="19"/>
  <c r="D6" i="19"/>
  <c r="L122" i="19" l="1"/>
  <c r="H47" i="26"/>
  <c r="G47" i="26"/>
  <c r="F47" i="26"/>
  <c r="C8" i="14"/>
  <c r="C7" i="14"/>
  <c r="N95" i="19"/>
  <c r="K95" i="19"/>
  <c r="J95" i="19"/>
  <c r="H95" i="19"/>
  <c r="L94" i="19"/>
  <c r="M94" i="19" s="1"/>
  <c r="I94" i="19"/>
  <c r="H47" i="19"/>
  <c r="H7" i="19" s="1"/>
  <c r="H6" i="19"/>
  <c r="E7" i="14"/>
  <c r="I85" i="19"/>
  <c r="I84" i="19"/>
  <c r="I83" i="19"/>
  <c r="I77" i="19"/>
  <c r="I76" i="19"/>
  <c r="I75" i="19"/>
  <c r="I69" i="19"/>
  <c r="I68" i="19"/>
  <c r="I67" i="19"/>
  <c r="L85" i="19"/>
  <c r="M85" i="19" s="1"/>
  <c r="L84" i="19"/>
  <c r="M84" i="19" s="1"/>
  <c r="L77" i="19"/>
  <c r="M77" i="19" s="1"/>
  <c r="L76" i="19"/>
  <c r="M76" i="19" s="1"/>
  <c r="L69" i="19"/>
  <c r="M69" i="19" s="1"/>
  <c r="I53" i="19"/>
  <c r="L53" i="19"/>
  <c r="M53" i="19" s="1"/>
  <c r="I54" i="19"/>
  <c r="L54" i="19"/>
  <c r="M54" i="19" s="1"/>
  <c r="I55" i="19"/>
  <c r="L55" i="19"/>
  <c r="M55" i="19" s="1"/>
  <c r="I56" i="19"/>
  <c r="L56" i="19"/>
  <c r="M56" i="19" s="1"/>
  <c r="I57" i="19"/>
  <c r="L57" i="19"/>
  <c r="M57" i="19" s="1"/>
  <c r="I58" i="19"/>
  <c r="L58" i="19"/>
  <c r="M58" i="19" s="1"/>
  <c r="I61" i="19"/>
  <c r="L61" i="19"/>
  <c r="M61" i="19" s="1"/>
  <c r="L40" i="19"/>
  <c r="L41" i="19"/>
  <c r="M41" i="19" s="1"/>
  <c r="L42" i="19"/>
  <c r="M42" i="19" s="1"/>
  <c r="L43" i="19"/>
  <c r="M43" i="19" s="1"/>
  <c r="L44" i="19"/>
  <c r="M44" i="19" s="1"/>
  <c r="I45" i="19"/>
  <c r="L45" i="19"/>
  <c r="M45" i="19" s="1"/>
  <c r="I46" i="19"/>
  <c r="L46" i="19"/>
  <c r="M46" i="19" s="1"/>
  <c r="I29" i="19"/>
  <c r="I31" i="19" s="1"/>
  <c r="E8" i="14"/>
  <c r="I33" i="19"/>
  <c r="I32" i="19"/>
  <c r="I27" i="19"/>
  <c r="I28" i="19" s="1"/>
  <c r="I30" i="19"/>
  <c r="G70" i="19"/>
  <c r="G9" i="19" s="1"/>
  <c r="N6" i="19"/>
  <c r="N47" i="19"/>
  <c r="N7" i="19" s="1"/>
  <c r="N62" i="19"/>
  <c r="N8" i="19" s="1"/>
  <c r="N70" i="19"/>
  <c r="N9" i="19" s="1"/>
  <c r="J78" i="19"/>
  <c r="J10" i="19" s="1"/>
  <c r="K78" i="19"/>
  <c r="K10" i="19" s="1"/>
  <c r="N86" i="19"/>
  <c r="N11" i="19" s="1"/>
  <c r="L29" i="19"/>
  <c r="L30" i="19"/>
  <c r="M30" i="19" s="1"/>
  <c r="L27" i="19"/>
  <c r="L32" i="19"/>
  <c r="M32" i="19" s="1"/>
  <c r="L33" i="19"/>
  <c r="M33" i="19" s="1"/>
  <c r="L39" i="19"/>
  <c r="M39" i="19" s="1"/>
  <c r="J6" i="19"/>
  <c r="D47" i="26"/>
  <c r="C47" i="26"/>
  <c r="B47" i="26"/>
  <c r="D32" i="26"/>
  <c r="C32" i="26"/>
  <c r="B32" i="26"/>
  <c r="B4" i="14"/>
  <c r="B3" i="14"/>
  <c r="G62" i="19"/>
  <c r="G8" i="19" s="1"/>
  <c r="G78" i="19"/>
  <c r="G10" i="19" s="1"/>
  <c r="G86" i="19"/>
  <c r="G11" i="19" s="1"/>
  <c r="H62" i="19"/>
  <c r="H8" i="19" s="1"/>
  <c r="H70" i="19"/>
  <c r="H9" i="19" s="1"/>
  <c r="H78" i="19"/>
  <c r="H10" i="19" s="1"/>
  <c r="H86" i="19"/>
  <c r="H11" i="19" s="1"/>
  <c r="L52" i="19"/>
  <c r="M52" i="19" s="1"/>
  <c r="I52" i="19"/>
  <c r="L68" i="19"/>
  <c r="M68" i="19" s="1"/>
  <c r="L93" i="19"/>
  <c r="M93" i="19" s="1"/>
  <c r="K86" i="19"/>
  <c r="K11" i="19" s="1"/>
  <c r="J86" i="19"/>
  <c r="J11" i="19" s="1"/>
  <c r="L83" i="19"/>
  <c r="M83" i="19" s="1"/>
  <c r="L75" i="19"/>
  <c r="M75" i="19" s="1"/>
  <c r="L67" i="19"/>
  <c r="M67" i="19" s="1"/>
  <c r="K70" i="19"/>
  <c r="K9" i="19" s="1"/>
  <c r="J70" i="19"/>
  <c r="J9" i="19" s="1"/>
  <c r="K62" i="19"/>
  <c r="K8" i="19" s="1"/>
  <c r="J62" i="19"/>
  <c r="J8" i="19" s="1"/>
  <c r="K47" i="19"/>
  <c r="K7" i="19" s="1"/>
  <c r="J47" i="19"/>
  <c r="J7" i="19" s="1"/>
  <c r="K6" i="19"/>
  <c r="M27" i="19" l="1"/>
  <c r="L28" i="19"/>
  <c r="M28" i="19" s="1"/>
  <c r="I34" i="19"/>
  <c r="M29" i="19"/>
  <c r="L31" i="19"/>
  <c r="G6" i="19"/>
  <c r="G44" i="19"/>
  <c r="I44" i="19" s="1"/>
  <c r="G40" i="19"/>
  <c r="I40" i="19" s="1"/>
  <c r="G43" i="19"/>
  <c r="I43" i="19" s="1"/>
  <c r="G39" i="19"/>
  <c r="G41" i="19"/>
  <c r="I41" i="19" s="1"/>
  <c r="G42" i="19"/>
  <c r="I42" i="19" s="1"/>
  <c r="H97" i="19"/>
  <c r="H13" i="19" s="1"/>
  <c r="D12" i="14" s="1"/>
  <c r="C16" i="14" s="1"/>
  <c r="H12" i="19"/>
  <c r="N12" i="19"/>
  <c r="J12" i="19"/>
  <c r="J97" i="19"/>
  <c r="J13" i="19" s="1"/>
  <c r="K12" i="19"/>
  <c r="K97" i="19"/>
  <c r="K13" i="19" s="1"/>
  <c r="E9" i="14"/>
  <c r="C9" i="14"/>
  <c r="I70" i="19"/>
  <c r="I9" i="19" s="1"/>
  <c r="I78" i="19"/>
  <c r="I10" i="19" s="1"/>
  <c r="N10" i="19"/>
  <c r="I62" i="19"/>
  <c r="I8" i="19" s="1"/>
  <c r="I6" i="19"/>
  <c r="L47" i="19"/>
  <c r="M47" i="19" s="1"/>
  <c r="I86" i="19"/>
  <c r="L70" i="19"/>
  <c r="L95" i="19"/>
  <c r="L12" i="19" s="1"/>
  <c r="L62" i="19"/>
  <c r="M62" i="19" s="1"/>
  <c r="L78" i="19"/>
  <c r="L10" i="19" s="1"/>
  <c r="M10" i="19" s="1"/>
  <c r="L86" i="19"/>
  <c r="M40" i="19"/>
  <c r="L34" i="19" l="1"/>
  <c r="L6" i="19" s="1"/>
  <c r="M31" i="19"/>
  <c r="G47" i="19"/>
  <c r="I39" i="19"/>
  <c r="I47" i="19" s="1"/>
  <c r="I7" i="19" s="1"/>
  <c r="M12" i="19"/>
  <c r="F93" i="19"/>
  <c r="N97" i="19"/>
  <c r="N13" i="19" s="1"/>
  <c r="I11" i="19"/>
  <c r="M86" i="19"/>
  <c r="L97" i="19"/>
  <c r="L13" i="19" s="1"/>
  <c r="L11" i="19"/>
  <c r="M11" i="19" s="1"/>
  <c r="M70" i="19"/>
  <c r="L9" i="19"/>
  <c r="M9" i="19" s="1"/>
  <c r="L7" i="19"/>
  <c r="M7" i="19" s="1"/>
  <c r="M34" i="19"/>
  <c r="M78" i="19"/>
  <c r="L8" i="19"/>
  <c r="M8" i="19" s="1"/>
  <c r="M95" i="19"/>
  <c r="M6" i="19"/>
  <c r="B14" i="19" l="1"/>
  <c r="M122" i="19"/>
  <c r="G7" i="19"/>
  <c r="G93" i="19"/>
  <c r="C50" i="26"/>
  <c r="E12" i="14"/>
  <c r="E15" i="14" s="1"/>
  <c r="F15" i="14" s="1"/>
  <c r="M13" i="19"/>
  <c r="F12" i="14"/>
  <c r="M97" i="19"/>
  <c r="I93" i="19" l="1"/>
  <c r="I95" i="19" s="1"/>
  <c r="G95" i="19"/>
  <c r="E16" i="14"/>
  <c r="E18" i="14" s="1"/>
  <c r="N122" i="19"/>
  <c r="B15" i="19"/>
  <c r="G97" i="19" l="1"/>
  <c r="G13" i="19" s="1"/>
  <c r="G12" i="19"/>
  <c r="I12" i="19"/>
  <c r="I97" i="19"/>
  <c r="I13" i="19" s="1"/>
  <c r="F16" i="14"/>
  <c r="F18" i="14"/>
  <c r="B50" i="26" l="1"/>
  <c r="C12" i="14"/>
  <c r="C15" i="14" s="1"/>
  <c r="D15" i="14" l="1"/>
  <c r="C18" i="14"/>
  <c r="D18" i="14" s="1"/>
  <c r="D16" i="14"/>
</calcChain>
</file>

<file path=xl/sharedStrings.xml><?xml version="1.0" encoding="utf-8"?>
<sst xmlns="http://schemas.openxmlformats.org/spreadsheetml/2006/main" count="328" uniqueCount="227">
  <si>
    <t>FY 2022-23 HSGP Exhibit C1</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</si>
  <si>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</si>
  <si>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</si>
  <si>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</si>
  <si>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</si>
  <si>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</si>
  <si>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</si>
  <si>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</si>
  <si>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</si>
  <si>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</si>
  <si>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</si>
  <si>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</si>
  <si>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</si>
  <si>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</si>
  <si>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</si>
  <si>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</si>
  <si>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</si>
  <si>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</si>
  <si>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</si>
  <si>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</si>
  <si>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</si>
  <si>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</si>
  <si>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</si>
  <si>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</si>
  <si>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</si>
  <si>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</si>
  <si>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</si>
  <si>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</si>
  <si>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</si>
  <si>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</si>
  <si>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</si>
  <si>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</si>
  <si>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</si>
  <si>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</si>
  <si>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</si>
  <si>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</si>
  <si>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</si>
  <si>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</si>
  <si>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</si>
  <si>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</si>
  <si>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</si>
  <si>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</si>
  <si>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</si>
  <si>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</si>
  <si>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</si>
  <si>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</si>
  <si>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</si>
  <si>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</si>
  <si>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Providence Saint John's Health Center - CFDC</t>
  </si>
  <si>
    <t>PROGRAM NAME:</t>
  </si>
  <si>
    <t>Child Development Program</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</si>
  <si>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</si>
  <si>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</si>
  <si>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</si>
  <si>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</si>
  <si>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</si>
  <si>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</si>
  <si>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</si>
  <si>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</si>
  <si>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</si>
  <si>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</si>
  <si>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</si>
  <si>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</si>
  <si>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</si>
  <si>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</si>
  <si>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</si>
  <si>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</si>
  <si>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</si>
  <si>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</si>
  <si>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</si>
  <si>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</si>
  <si>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Noa Saadi</t>
  </si>
  <si>
    <t>Program Coordinator</t>
  </si>
  <si>
    <t>Araceli Gonzalez</t>
  </si>
  <si>
    <t>Clinical Bilingual</t>
  </si>
  <si>
    <t>Gail Gutierrez</t>
  </si>
  <si>
    <t>Mental Health Director</t>
  </si>
  <si>
    <t>1A.  Staff Salaries TOTAL</t>
  </si>
  <si>
    <t>1B.  Staff Fringe Benefits</t>
  </si>
  <si>
    <t>List each fringe benefit as a percentage of total staff salaries listed above (FICA, SUI, Workers’ Compensation, Medical Insurance, Retirement, etc.).</t>
  </si>
  <si>
    <t>Description</t>
  </si>
  <si>
    <t>Medical</t>
  </si>
  <si>
    <t>Other Benefits</t>
  </si>
  <si>
    <t>FICA</t>
  </si>
  <si>
    <t>7.65%</t>
  </si>
  <si>
    <t>Unemployment - Federal/State</t>
  </si>
  <si>
    <t>0.21%</t>
  </si>
  <si>
    <t xml:space="preserve">Worker's Comp </t>
  </si>
  <si>
    <t>1.85%</t>
  </si>
  <si>
    <t>Retirement</t>
  </si>
  <si>
    <t>5.99%</t>
  </si>
  <si>
    <t>1B.  Staff Fringe Benefits TOTAL</t>
  </si>
  <si>
    <t>2.  Consultant Services</t>
  </si>
  <si>
    <t>List each consultant to be funded. Include type of service, total budgeted expense, and any additional information to suport the use of consultants as opposed to staff or volunteers.</t>
  </si>
  <si>
    <t>Direct Expense</t>
  </si>
  <si>
    <t>Training (not reimbursed by City of Santa Monica)</t>
  </si>
  <si>
    <t>Meeting Expense</t>
  </si>
  <si>
    <t>Mileage</t>
  </si>
  <si>
    <t>Professional Fees</t>
  </si>
  <si>
    <t>Purchase Services</t>
  </si>
  <si>
    <t>Supplies</t>
  </si>
  <si>
    <t>Telephone/Wireless/Internet</t>
  </si>
  <si>
    <t>2.  Consultant Services TOTAL</t>
  </si>
  <si>
    <t>3.  Operating Expenses</t>
  </si>
  <si>
    <t>List all operating expenses [e.g., space/rent expense, utilities, facilitiy maintenance, equipment, insurance, office supplies, printing, audit fees, travel, training, etc.].</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</si>
  <si>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</si>
  <si>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</si>
  <si>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</si>
  <si>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</si>
  <si>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</si>
  <si>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</si>
  <si>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</si>
  <si>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</si>
  <si>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</si>
  <si>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</si>
  <si>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</si>
  <si>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  10%</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</si>
  <si>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</si>
  <si>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</si>
  <si>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</si>
  <si>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</si>
  <si>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</si>
  <si>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</si>
  <si>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</si>
  <si>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</si>
  <si>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</si>
  <si>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</si>
  <si>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</si>
  <si>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</si>
  <si>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</si>
  <si>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</si>
  <si>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</si>
  <si>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</si>
  <si>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</si>
  <si>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</si>
  <si>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6.  Other</t>
  </si>
  <si>
    <t>Saint John's Health Center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</si>
  <si>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</si>
  <si>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</si>
  <si>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</si>
  <si>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</si>
  <si>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</si>
  <si>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</si>
  <si>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</si>
  <si>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</si>
  <si>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</si>
  <si>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</si>
  <si>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</si>
  <si>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</si>
  <si>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Unable to collect</t>
  </si>
  <si>
    <t>unable to collect</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</si>
  <si>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</si>
  <si>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</si>
  <si>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</si>
  <si>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</si>
  <si>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</si>
  <si>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</si>
  <si>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</si>
  <si>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</si>
  <si>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</si>
  <si>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</si>
  <si>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</si>
  <si>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</si>
  <si>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</si>
  <si>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</si>
  <si>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</si>
  <si>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</si>
  <si>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</si>
  <si>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</si>
  <si>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</si>
  <si>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</si>
  <si>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</si>
  <si>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</si>
  <si>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</si>
  <si>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</si>
  <si>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</si>
  <si>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</si>
  <si>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</si>
  <si>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</si>
  <si>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</si>
  <si>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</si>
  <si>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</si>
  <si>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</si>
  <si>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</si>
  <si>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</si>
  <si>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</si>
  <si>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</si>
  <si>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</si>
  <si>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</si>
  <si>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</si>
  <si>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</si>
  <si>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</si>
  <si>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</si>
  <si>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</si>
  <si>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</si>
  <si>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</si>
  <si>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</si>
  <si>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</si>
  <si>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</si>
  <si>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</si>
  <si>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</si>
  <si>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</si>
  <si>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</si>
  <si>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</si>
  <si>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</si>
  <si>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</si>
  <si>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</si>
  <si>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</si>
  <si>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</si>
  <si>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</si>
  <si>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</si>
  <si>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</si>
  <si>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</si>
  <si>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County</t>
  </si>
  <si>
    <t>LA County Dept of Mental Health</t>
  </si>
  <si>
    <t xml:space="preserve">County </t>
  </si>
  <si>
    <t>DCFS PFF Grant</t>
  </si>
  <si>
    <t>Local</t>
  </si>
  <si>
    <t>City of Santa Monica</t>
  </si>
  <si>
    <t>Atlas, Deutsch, CIF</t>
  </si>
  <si>
    <t>One grant funder not funding our type of program</t>
  </si>
  <si>
    <t>WIN</t>
  </si>
  <si>
    <t>Grant Expires 6/30/22</t>
  </si>
  <si>
    <t>Insurance, Medicare, Co-Pay</t>
  </si>
  <si>
    <t>ECD Tuition</t>
  </si>
  <si>
    <t>Children are not returning to pre-covid numbers</t>
  </si>
  <si>
    <t>Foundation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</si>
</sst>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0.0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4">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2"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60" xfId="5"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6" xfId="2" applyNumberFormat="1" applyFont="1" applyFill="1" applyBorder="1" applyProtection="1"/>
    <xf numFmtId="0" fontId="4" fillId="12" borderId="12" xfId="3" applyFont="1" applyFill="1" applyBorder="1" applyAlignment="1">
      <alignment wrapText="1"/>
    </xf>
    <xf numFmtId="0" fontId="4" fillId="12" borderId="15" xfId="3" applyFont="1" applyFill="1" applyBorder="1" applyAlignment="1">
      <alignment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 fillId="0" borderId="0" xfId="3"/>
    <xf numFmtId="0" fontId="3" fillId="0" borderId="0" xfId="3" applyFont="1"/>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45" xfId="0" applyNumberFormat="1" applyFont="1" applyFill="1" applyBorder="1" applyAlignment="1" applyProtection="1">
      <alignment horizontal="left" vertical="top" shrinkToFit="1"/>
    </xf>
    <xf numFmtId="10"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2" fontId="1" fillId="6" borderId="19" xfId="2" applyNumberFormat="1" applyFont="1" applyFill="1" applyBorder="1" applyProtection="1"/>
    <xf numFmtId="42" fontId="1" fillId="6" borderId="28" xfId="2" applyNumberFormat="1" applyFont="1" applyFill="1" applyBorder="1" applyProtection="1"/>
    <xf numFmtId="171" fontId="1" fillId="12" borderId="45" xfId="0" applyNumberFormat="1" applyFont="1" applyFill="1" applyBorder="1" applyAlignment="1" applyProtection="1">
      <alignment horizontal="left" vertical="top" shrinkToFit="1"/>
    </xf>
    <xf numFmtId="49" fontId="1" fillId="12" borderId="20" xfId="3" applyNumberFormat="1" applyFill="1" applyBorder="1" applyAlignment="1" applyProtection="1">
      <alignment horizontal="left" vertical="top"/>
    </xf>
    <xf numFmtId="49" fontId="1" fillId="12" borderId="20" xfId="3" applyNumberFormat="1" applyFill="1" applyBorder="1" applyAlignment="1" applyProtection="1">
      <alignment horizontal="left" vertical="top" wrapText="1"/>
    </xf>
    <xf numFmtId="49" fontId="1" fillId="12" borderId="57"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42" fontId="1" fillId="6" borderId="22" xfId="2" applyNumberFormat="1" applyFont="1" applyFill="1" applyBorder="1" applyProtection="1"/>
    <xf numFmtId="49" fontId="1" fillId="12" borderId="51"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9" fontId="1" fillId="12" borderId="56" xfId="3" applyNumberFormat="1" applyFill="1" applyBorder="1" applyAlignment="1" applyProtection="1">
      <alignment horizontal="left" vertical="top" wrapText="1"/>
    </xf>
    <xf numFmtId="0" fontId="2" fillId="4" borderId="11" xfId="3" applyFont="1" applyFill="1" applyBorder="1" applyAlignment="1" applyProtection="1">
      <alignment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8"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4" borderId="14" xfId="3" applyFont="1" applyFill="1" applyBorder="1" applyAlignment="1" applyProtection="1">
      <alignment horizontal="left" vertical="center" wrapText="1"/>
    </xf>
    <xf numFmtId="0" fontId="20"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1" fontId="21" fillId="6" borderId="14" xfId="3" quotePrefix="1" applyNumberFormat="1" applyFont="1" applyFill="1" applyBorder="1" applyAlignment="1" applyProtection="1">
      <alignment vertical="center" wrapText="1"/>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4" borderId="46" xfId="3" applyFont="1" applyFill="1" applyBorder="1" applyAlignment="1" applyProtection="1">
      <alignment horizontal="center" vertical="center" wrapText="1"/>
    </xf>
    <xf numFmtId="0" fontId="20" fillId="4" borderId="4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6" fillId="11" borderId="0" xfId="3" applyFont="1" applyFill="1" applyAlignment="1">
      <alignment horizontal="left" vertical="center" wrapText="1"/>
    </xf>
    <xf numFmtId="0" fontId="1" fillId="0" borderId="0" xfId="3" applyAlignment="1">
      <alignment horizontal="left" vertical="center" wrapText="1"/>
    </xf>
    <xf numFmtId="0" fontId="13" fillId="0" borderId="0" xfId="3" applyFont="1" applyAlignment="1">
      <alignment horizontal="center"/>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2" fillId="0" borderId="0" xfId="3" applyFont="1" applyAlignment="1"/>
    <xf numFmtId="0" fontId="1" fillId="0" borderId="0" xfId="3" applyAlignment="1"/>
    <xf numFmtId="0" fontId="3" fillId="0" borderId="0" xfId="3" applyFont="1" applyAlignment="1"/>
    <xf numFmtId="0" fontId="13" fillId="0" borderId="0" xfId="3" applyFont="1" applyAlignment="1">
      <alignment vertical="top"/>
    </xf>
    <xf numFmtId="0" fontId="31" fillId="0" borderId="0" xfId="3" applyFont="1" applyAlignment="1"/>
    <xf numFmtId="0" fontId="4" fillId="0" borderId="48"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6" customFormat="1" ht="18" x14ac:dyDescent="0.25">
      <c r="A1" s="314" t="s">
        <v>0</v>
      </c>
      <c r="B1" s="314"/>
      <c r="C1" s="314"/>
    </row>
    <row r="2" spans="1:3" s="137" customFormat="1" ht="18" x14ac:dyDescent="0.25">
      <c r="A2" s="314" t="s">
        <v>1</v>
      </c>
      <c r="B2" s="314"/>
      <c r="C2" s="314"/>
    </row>
    <row r="3" spans="1:3" s="138" customFormat="1" ht="13.5" thickBot="1" x14ac:dyDescent="0.25">
      <c r="A3" s="137"/>
      <c r="B3" s="137"/>
      <c r="C3" s="137"/>
    </row>
    <row r="4" spans="1:3" s="137" customFormat="1" ht="15.75" thickBot="1" x14ac:dyDescent="0.25">
      <c r="A4" s="139" t="s">
        <v>2</v>
      </c>
      <c r="B4" s="140" t="s">
        <v>3</v>
      </c>
      <c r="C4" s="140" t="s">
        <v>4</v>
      </c>
    </row>
    <row r="5" spans="1:3" s="137" customFormat="1" ht="29.25" thickBot="1" x14ac:dyDescent="0.25">
      <c r="A5" s="34" t="s">
        <v>5</v>
      </c>
      <c r="B5" s="33" t="s">
        <v>6</v>
      </c>
      <c r="C5" s="32">
        <v>44963</v>
      </c>
    </row>
    <row r="6" spans="1:3" s="137" customFormat="1" ht="29.25" thickBot="1" x14ac:dyDescent="0.25">
      <c r="A6" s="34" t="s">
        <v>7</v>
      </c>
      <c r="B6" s="33" t="s">
        <v>8</v>
      </c>
      <c r="C6" s="32">
        <v>45145</v>
      </c>
    </row>
    <row r="8" spans="1:3" ht="17.25" customHeight="1" x14ac:dyDescent="0.2">
      <c r="A8" s="312" t="s">
        <v>9</v>
      </c>
      <c r="B8" s="312"/>
      <c r="C8" s="312"/>
    </row>
    <row r="9" spans="1:3" ht="74.25" customHeight="1" x14ac:dyDescent="0.2">
      <c r="A9" s="313" t="s">
        <v>10</v>
      </c>
      <c r="B9" s="313"/>
      <c r="C9" s="313"/>
    </row>
    <row r="10" spans="1:3" ht="45.75" customHeight="1" x14ac:dyDescent="0.2">
      <c r="A10" s="313" t="s">
        <v>11</v>
      </c>
      <c r="B10" s="313"/>
      <c r="C10" s="313"/>
    </row>
    <row r="11" spans="1:3" ht="90" customHeight="1" x14ac:dyDescent="0.2">
      <c r="A11" s="313" t="s">
        <v>12</v>
      </c>
      <c r="B11" s="313"/>
      <c r="C11" s="313"/>
    </row>
    <row r="12" spans="1:3" ht="11.25" customHeight="1" x14ac:dyDescent="0.2">
      <c r="A12" s="313"/>
      <c r="B12" s="313"/>
      <c r="C12" s="313"/>
    </row>
    <row r="13" spans="1:3" ht="15" customHeight="1" x14ac:dyDescent="0.2">
      <c r="A13" s="312" t="s">
        <v>13</v>
      </c>
      <c r="B13" s="312"/>
      <c r="C13" s="312"/>
    </row>
    <row r="14" spans="1:3" ht="65.25" customHeight="1" x14ac:dyDescent="0.2">
      <c r="A14" s="313" t="s">
        <v>14</v>
      </c>
      <c r="B14" s="313"/>
      <c r="C14" s="313"/>
    </row>
    <row r="15" spans="1:3" s="12" customFormat="1" ht="50.25" customHeight="1" x14ac:dyDescent="0.2">
      <c r="A15" s="313" t="s">
        <v>15</v>
      </c>
      <c r="B15" s="313"/>
      <c r="C15" s="313"/>
    </row>
    <row r="16" spans="1:3" x14ac:dyDescent="0.2">
      <c r="A16" s="313"/>
      <c r="B16" s="313"/>
      <c r="C16" s="313"/>
    </row>
    <row r="17" spans="1:3" ht="16.5" customHeight="1" x14ac:dyDescent="0.2">
      <c r="A17" s="315" t="s">
        <v>16</v>
      </c>
      <c r="B17" s="315"/>
      <c r="C17" s="315"/>
    </row>
    <row r="18" spans="1:3" ht="30.75" customHeight="1" x14ac:dyDescent="0.2">
      <c r="A18" s="316" t="s">
        <v>17</v>
      </c>
      <c r="B18" s="316"/>
      <c r="C18" s="316"/>
    </row>
    <row r="19" spans="1:3" ht="30" customHeight="1" x14ac:dyDescent="0.2">
      <c r="A19" s="316" t="s">
        <v>18</v>
      </c>
      <c r="B19" s="316"/>
      <c r="C19" s="316"/>
    </row>
    <row r="20" spans="1:3" s="12" customFormat="1" ht="24.75" customHeight="1" x14ac:dyDescent="0.2">
      <c r="A20" s="316" t="s">
        <v>19</v>
      </c>
      <c r="B20" s="316"/>
      <c r="C20" s="316"/>
    </row>
    <row r="21" spans="1:3" ht="30" customHeight="1" x14ac:dyDescent="0.2">
      <c r="A21" s="316" t="s">
        <v>20</v>
      </c>
      <c r="B21" s="316"/>
      <c r="C21" s="316"/>
    </row>
    <row r="22" spans="1:3" x14ac:dyDescent="0.2">
      <c r="A22" s="313"/>
      <c r="B22" s="313"/>
      <c r="C22" s="313"/>
    </row>
    <row r="23" spans="1:3" ht="12.75" customHeight="1" x14ac:dyDescent="0.2">
      <c r="A23" s="315" t="s">
        <v>21</v>
      </c>
      <c r="B23" s="315"/>
      <c r="C23" s="315"/>
    </row>
    <row r="24" spans="1:3" s="12" customFormat="1" ht="172.5" customHeight="1" x14ac:dyDescent="0.2">
      <c r="A24" s="316" t="s">
        <v>22</v>
      </c>
      <c r="B24" s="316"/>
      <c r="C24" s="316"/>
    </row>
    <row r="25" spans="1:3" ht="174.75" customHeight="1" x14ac:dyDescent="0.2">
      <c r="A25" s="316" t="s">
        <v>23</v>
      </c>
      <c r="B25" s="316"/>
      <c r="C25" s="316"/>
    </row>
    <row r="26" spans="1:3" x14ac:dyDescent="0.2">
      <c r="A26" s="313"/>
      <c r="B26" s="313"/>
      <c r="C26" s="313"/>
    </row>
    <row r="27" spans="1:3" ht="13.5" customHeight="1" x14ac:dyDescent="0.2">
      <c r="A27" s="315" t="s">
        <v>24</v>
      </c>
      <c r="B27" s="315"/>
      <c r="C27" s="315"/>
    </row>
    <row r="28" spans="1:3" ht="54" customHeight="1" x14ac:dyDescent="0.2">
      <c r="A28" s="316" t="s">
        <v>25</v>
      </c>
      <c r="B28" s="316"/>
      <c r="C28" s="316"/>
    </row>
    <row r="29" spans="1:3" ht="31.5" customHeight="1" x14ac:dyDescent="0.2">
      <c r="A29" s="316" t="s">
        <v>26</v>
      </c>
      <c r="B29" s="316"/>
      <c r="C29" s="316"/>
    </row>
    <row r="30" spans="1:3" ht="55.5" customHeight="1" x14ac:dyDescent="0.2">
      <c r="A30" s="316" t="s">
        <v>27</v>
      </c>
      <c r="B30" s="316"/>
      <c r="C30" s="316"/>
    </row>
    <row r="31" spans="1:3" x14ac:dyDescent="0.2">
      <c r="A31" s="313"/>
      <c r="B31" s="313"/>
      <c r="C31" s="313"/>
    </row>
    <row r="32" spans="1:3" x14ac:dyDescent="0.2">
      <c r="A32" s="312" t="s">
        <v>28</v>
      </c>
      <c r="B32" s="312"/>
      <c r="C32" s="312"/>
    </row>
    <row r="33" spans="1:3" ht="43.5" customHeight="1" x14ac:dyDescent="0.2">
      <c r="A33" s="313" t="s">
        <v>29</v>
      </c>
      <c r="B33" s="313"/>
      <c r="C33" s="313"/>
    </row>
    <row r="35" spans="1:3" x14ac:dyDescent="0.2">
      <c r="A35" s="312" t="s">
        <v>30</v>
      </c>
      <c r="B35" s="312"/>
      <c r="C35" s="312"/>
    </row>
    <row r="36" spans="1:3" ht="54" customHeight="1" x14ac:dyDescent="0.2">
      <c r="A36" s="313" t="s">
        <v>31</v>
      </c>
      <c r="B36" s="313"/>
      <c r="C36" s="313"/>
    </row>
    <row r="37" spans="1:3" x14ac:dyDescent="0.2">
      <c r="A37" s="313"/>
      <c r="B37" s="313"/>
      <c r="C37" s="313"/>
    </row>
    <row r="38" spans="1:3" x14ac:dyDescent="0.2">
      <c r="A38" s="312" t="s">
        <v>32</v>
      </c>
      <c r="B38" s="312"/>
      <c r="C38" s="312"/>
    </row>
    <row r="39" spans="1:3" ht="86.25" customHeight="1" x14ac:dyDescent="0.2">
      <c r="A39" s="313" t="s">
        <v>33</v>
      </c>
      <c r="B39" s="313"/>
      <c r="C39" s="313"/>
    </row>
    <row r="41" spans="1:3" x14ac:dyDescent="0.2">
      <c r="A41" s="312" t="s">
        <v>34</v>
      </c>
      <c r="B41" s="312"/>
      <c r="C41" s="312"/>
    </row>
    <row r="42" spans="1:3" ht="77.25" customHeight="1" x14ac:dyDescent="0.2">
      <c r="A42" s="313" t="s">
        <v>35</v>
      </c>
      <c r="B42" s="313"/>
      <c r="C42" s="313"/>
    </row>
  </sheetData>
  <sheetProtection algorithmName="SHA-512" hashValue="eM6EwKTh3zQ93JOLY/FQx93RMYN9vcu4UuxHv3KmJPjNu089xxEiE3ny6ww7DEb3t1zy0TwCwW3OHbqfClEvnQ==" saltValue="jTtAa7tfGn/3LOJ6j4jBWQ==" spinCount="100000" sheet="1" objects="1" scenarios="1"/>
  <mergeCells count="35">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19:C19"/>
    <mergeCell ref="A20:C20"/>
    <mergeCell ref="A21:C21"/>
    <mergeCell ref="A22:C22"/>
    <mergeCell ref="A37:C37"/>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s>
  <printOptions horizontalCentered="1"/>
  <pageMargins left="0.7" right="0.7" top="0.75" bottom="0.75" header="0.3" footer="0.3"/>
  <pageSetup scale="83" orientation="portrait" horizontalDpi="4294967295" verticalDpi="4294967295" r:id="rId1"/>
  <headerFooter>
    <oddFooter>&amp;LCity of Santa Monica
Exhibit C1 -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25"/>
  <sheetViews>
    <sheetView showGridLines="0" zoomScale="80" zoomScaleNormal="80" workbookViewId="0">
      <selection activeCell="N1" sqref="N1"/>
    </sheetView>
  </sheetViews>
  <sheetFormatPr defaultColWidth="8.85546875" defaultRowHeight="12.75" outlineLevelRow="1" x14ac:dyDescent="0.2"/>
  <cols>
    <col min="1" max="1" width="33.140625" style="163" customWidth="1"/>
    <col min="2" max="2" width="32.42578125" style="163" customWidth="1"/>
    <col min="3" max="3" width="30.42578125" style="163" customWidth="1"/>
    <col min="4" max="4" width="11.140625" style="163" customWidth="1"/>
    <col min="5" max="5" width="10.85546875" style="163" customWidth="1"/>
    <col min="6" max="6" width="10" style="163" customWidth="1"/>
    <col min="7" max="9" width="14.85546875" style="163" customWidth="1"/>
    <col min="10" max="12" width="14.42578125" style="163" customWidth="1"/>
    <col min="13" max="13" width="13.85546875" style="8" bestFit="1" customWidth="1"/>
    <col min="14" max="14" width="16.7109375" style="7" customWidth="1"/>
    <col min="15" max="16384" width="8.85546875" style="163"/>
  </cols>
  <sheetData>
    <row r="1" spans="1:14" ht="18" x14ac:dyDescent="0.25">
      <c r="A1" s="160" t="s">
        <v>36</v>
      </c>
      <c r="B1" s="161"/>
      <c r="C1" s="162"/>
      <c r="D1" s="162"/>
      <c r="E1" s="162"/>
      <c r="F1" s="162"/>
      <c r="G1" s="162"/>
      <c r="H1" s="162"/>
      <c r="I1" s="162"/>
      <c r="J1" s="162"/>
      <c r="K1" s="162"/>
      <c r="L1" s="162"/>
      <c r="M1" s="19"/>
      <c r="N1" s="18"/>
    </row>
    <row r="2" spans="1:14" ht="18" x14ac:dyDescent="0.2">
      <c r="A2" s="164" t="s">
        <v>37</v>
      </c>
      <c r="B2" s="161"/>
      <c r="C2" s="162"/>
      <c r="D2" s="162"/>
      <c r="E2" s="162"/>
      <c r="F2" s="162"/>
      <c r="G2" s="162"/>
      <c r="H2" s="162"/>
      <c r="I2" s="162"/>
      <c r="J2" s="162"/>
      <c r="K2" s="162"/>
      <c r="L2" s="162"/>
      <c r="M2" s="19"/>
      <c r="N2" s="18"/>
    </row>
    <row r="3" spans="1:14" ht="13.5" thickBot="1" x14ac:dyDescent="0.25">
      <c r="A3" s="161"/>
      <c r="B3" s="161"/>
      <c r="C3" s="162"/>
      <c r="D3" s="162"/>
      <c r="E3" s="162"/>
      <c r="F3" s="162"/>
      <c r="G3" s="162"/>
      <c r="H3" s="162"/>
      <c r="I3" s="162"/>
      <c r="J3" s="162"/>
      <c r="K3" s="162"/>
      <c r="L3" s="162"/>
      <c r="M3" s="19"/>
      <c r="N3" s="18"/>
    </row>
    <row r="4" spans="1:14" ht="13.5" thickBot="1" x14ac:dyDescent="0.25">
      <c r="A4" s="165" t="s">
        <v>38</v>
      </c>
      <c r="B4" s="166"/>
      <c r="C4" s="166"/>
      <c r="D4" s="166"/>
      <c r="E4" s="166"/>
      <c r="F4" s="166"/>
      <c r="G4" s="166"/>
      <c r="H4" s="166"/>
      <c r="I4" s="166"/>
      <c r="J4" s="166"/>
      <c r="K4" s="166"/>
      <c r="L4" s="166"/>
      <c r="M4" s="68"/>
      <c r="N4" s="167"/>
    </row>
    <row r="5" spans="1:14" ht="33.75" x14ac:dyDescent="0.2">
      <c r="A5" s="168"/>
      <c r="B5" s="169"/>
      <c r="C5" s="169"/>
      <c r="D5" s="169"/>
      <c r="E5" s="169"/>
      <c r="F5" s="169"/>
      <c r="G5" s="170" t="s">
        <v>39</v>
      </c>
      <c r="H5" s="170" t="s">
        <v>40</v>
      </c>
      <c r="I5" s="170" t="s">
        <v>41</v>
      </c>
      <c r="J5" s="170" t="s">
        <v>42</v>
      </c>
      <c r="K5" s="170" t="s">
        <v>43</v>
      </c>
      <c r="L5" s="170" t="s">
        <v>44</v>
      </c>
      <c r="M5" s="74" t="s">
        <v>45</v>
      </c>
      <c r="N5" s="75" t="s">
        <v>46</v>
      </c>
    </row>
    <row r="6" spans="1:14" x14ac:dyDescent="0.2">
      <c r="A6" s="171" t="s">
        <v>47</v>
      </c>
      <c r="B6" s="172" t="s">
        <v>48</v>
      </c>
      <c r="C6" s="172"/>
      <c r="D6" s="173" t="str">
        <f>A24</f>
        <v>1A.  Staff Salaries</v>
      </c>
      <c r="G6" s="85">
        <f t="shared" ref="G6:I6" si="0">G34</f>
        <v>90356</v>
      </c>
      <c r="H6" s="85">
        <f t="shared" si="0"/>
        <v>59106</v>
      </c>
      <c r="I6" s="85">
        <f t="shared" si="0"/>
        <v>31250</v>
      </c>
      <c r="J6" s="85">
        <f t="shared" ref="J6:K6" si="1">J34</f>
        <v>29553</v>
      </c>
      <c r="K6" s="85">
        <f t="shared" si="1"/>
        <v>29553</v>
      </c>
      <c r="L6" s="85">
        <f>L34</f>
        <v>59106</v>
      </c>
      <c r="M6" s="16">
        <f t="shared" ref="M6:M13" si="2">IFERROR(L6/H6,"N/A")</f>
        <v>1</v>
      </c>
      <c r="N6" s="87">
        <f>N34</f>
        <v>87462</v>
      </c>
    </row>
    <row r="7" spans="1:14" x14ac:dyDescent="0.2">
      <c r="A7" s="171" t="s">
        <v>49</v>
      </c>
      <c r="B7" s="174" t="s">
        <v>50</v>
      </c>
      <c r="C7" s="174"/>
      <c r="D7" s="173" t="str">
        <f>A36</f>
        <v>1B.  Staff Fringe Benefits</v>
      </c>
      <c r="G7" s="85">
        <f t="shared" ref="G7:I7" si="3">G47</f>
        <v>22155.291200000003</v>
      </c>
      <c r="H7" s="85">
        <f t="shared" si="3"/>
        <v>0</v>
      </c>
      <c r="I7" s="85">
        <f t="shared" si="3"/>
        <v>22155.291200000003</v>
      </c>
      <c r="J7" s="85">
        <f>J47</f>
        <v>2261</v>
      </c>
      <c r="K7" s="85">
        <f>K47</f>
        <v>2261</v>
      </c>
      <c r="L7" s="85">
        <f>L47</f>
        <v>4522</v>
      </c>
      <c r="M7" s="16" t="str">
        <f t="shared" si="2"/>
        <v>N/A</v>
      </c>
      <c r="N7" s="87">
        <f>N47</f>
        <v>21446</v>
      </c>
    </row>
    <row r="8" spans="1:14" x14ac:dyDescent="0.2">
      <c r="A8" s="175"/>
      <c r="D8" s="173" t="str">
        <f>A49</f>
        <v>2.  Consultant Services</v>
      </c>
      <c r="G8" s="85">
        <f t="shared" ref="G8:I8" si="4">G62</f>
        <v>1299.7757999999999</v>
      </c>
      <c r="H8" s="85">
        <f t="shared" si="4"/>
        <v>0</v>
      </c>
      <c r="I8" s="85">
        <f t="shared" si="4"/>
        <v>1299.7757999999999</v>
      </c>
      <c r="J8" s="85">
        <f>J62</f>
        <v>0</v>
      </c>
      <c r="K8" s="85">
        <f>K62</f>
        <v>0</v>
      </c>
      <c r="L8" s="85">
        <f>L62</f>
        <v>0</v>
      </c>
      <c r="M8" s="16" t="str">
        <f t="shared" si="2"/>
        <v>N/A</v>
      </c>
      <c r="N8" s="87">
        <f>N62</f>
        <v>200</v>
      </c>
    </row>
    <row r="9" spans="1:14" x14ac:dyDescent="0.2">
      <c r="A9" s="175"/>
      <c r="D9" s="173" t="str">
        <f>A64</f>
        <v>3.  Operating Expenses</v>
      </c>
      <c r="G9" s="85">
        <f t="shared" ref="G9:L9" si="5">G70</f>
        <v>0</v>
      </c>
      <c r="H9" s="85">
        <f t="shared" si="5"/>
        <v>0</v>
      </c>
      <c r="I9" s="85">
        <f t="shared" si="5"/>
        <v>0</v>
      </c>
      <c r="J9" s="85">
        <f t="shared" si="5"/>
        <v>0</v>
      </c>
      <c r="K9" s="85">
        <f t="shared" si="5"/>
        <v>0</v>
      </c>
      <c r="L9" s="85">
        <f t="shared" si="5"/>
        <v>0</v>
      </c>
      <c r="M9" s="16" t="str">
        <f t="shared" si="2"/>
        <v>N/A</v>
      </c>
      <c r="N9" s="87">
        <f>N70</f>
        <v>0</v>
      </c>
    </row>
    <row r="10" spans="1:14" x14ac:dyDescent="0.2">
      <c r="A10" s="176" t="s">
        <v>51</v>
      </c>
      <c r="B10" s="177" t="s">
        <v>61</v>
      </c>
      <c r="D10" s="173" t="str">
        <f>A72</f>
        <v>4.  Direct Client Support</v>
      </c>
      <c r="G10" s="85">
        <f>G78</f>
        <v>0</v>
      </c>
      <c r="H10" s="85">
        <f t="shared" ref="H10:N10" si="6">H78</f>
        <v>0</v>
      </c>
      <c r="I10" s="85">
        <f t="shared" si="6"/>
        <v>0</v>
      </c>
      <c r="J10" s="85">
        <f t="shared" si="6"/>
        <v>0</v>
      </c>
      <c r="K10" s="85">
        <f t="shared" si="6"/>
        <v>0</v>
      </c>
      <c r="L10" s="85">
        <f t="shared" si="6"/>
        <v>0</v>
      </c>
      <c r="M10" s="16" t="str">
        <f t="shared" si="2"/>
        <v>N/A</v>
      </c>
      <c r="N10" s="87">
        <f t="shared" si="6"/>
        <v>0</v>
      </c>
    </row>
    <row r="11" spans="1:14" x14ac:dyDescent="0.2">
      <c r="A11" s="175"/>
      <c r="D11" s="173" t="str">
        <f>A80</f>
        <v>5.  Other</v>
      </c>
      <c r="G11" s="85">
        <f>G86</f>
        <v>0</v>
      </c>
      <c r="H11" s="85">
        <f t="shared" ref="H11:N11" si="7">H86</f>
        <v>0</v>
      </c>
      <c r="I11" s="85">
        <f t="shared" si="7"/>
        <v>0</v>
      </c>
      <c r="J11" s="85">
        <f t="shared" si="7"/>
        <v>0</v>
      </c>
      <c r="K11" s="85">
        <f t="shared" si="7"/>
        <v>0</v>
      </c>
      <c r="L11" s="85">
        <f t="shared" si="7"/>
        <v>0</v>
      </c>
      <c r="M11" s="16" t="str">
        <f t="shared" si="2"/>
        <v>N/A</v>
      </c>
      <c r="N11" s="87">
        <f t="shared" si="7"/>
        <v>0</v>
      </c>
    </row>
    <row r="12" spans="1:14" x14ac:dyDescent="0.2">
      <c r="A12" s="175"/>
      <c r="D12" s="173" t="str">
        <f>A88</f>
        <v>6.  Indirect Administrative Costs</v>
      </c>
      <c r="G12" s="85">
        <f>G95</f>
        <v>11381.106700000002</v>
      </c>
      <c r="H12" s="85">
        <f t="shared" ref="H12:L12" si="8">H95</f>
        <v>0</v>
      </c>
      <c r="I12" s="85">
        <f t="shared" si="8"/>
        <v>11381.106700000002</v>
      </c>
      <c r="J12" s="85">
        <f t="shared" si="8"/>
        <v>0</v>
      </c>
      <c r="K12" s="85">
        <f t="shared" si="8"/>
        <v>0</v>
      </c>
      <c r="L12" s="85">
        <f t="shared" si="8"/>
        <v>0</v>
      </c>
      <c r="M12" s="16" t="str">
        <f t="shared" si="2"/>
        <v>N/A</v>
      </c>
      <c r="N12" s="87">
        <f>N95</f>
        <v>10911</v>
      </c>
    </row>
    <row r="13" spans="1:14" x14ac:dyDescent="0.2">
      <c r="A13" s="175" t="s">
        <v>53</v>
      </c>
      <c r="B13" s="178">
        <v>63628</v>
      </c>
      <c r="D13" s="179" t="str">
        <f>C97</f>
        <v>7.   TOTAL BUDGET</v>
      </c>
      <c r="E13" s="161"/>
      <c r="F13" s="161"/>
      <c r="G13" s="86">
        <f>G97</f>
        <v>125192.17370000001</v>
      </c>
      <c r="H13" s="86">
        <f t="shared" ref="H13:L13" si="9">H97</f>
        <v>59106</v>
      </c>
      <c r="I13" s="86">
        <f t="shared" si="9"/>
        <v>66086.173700000014</v>
      </c>
      <c r="J13" s="86">
        <f t="shared" si="9"/>
        <v>31814</v>
      </c>
      <c r="K13" s="86">
        <f t="shared" si="9"/>
        <v>31814</v>
      </c>
      <c r="L13" s="86">
        <f t="shared" si="9"/>
        <v>63628</v>
      </c>
      <c r="M13" s="17">
        <f t="shared" si="2"/>
        <v>1.076506615233648</v>
      </c>
      <c r="N13" s="88">
        <f>N97</f>
        <v>120019</v>
      </c>
    </row>
    <row r="14" spans="1:14" x14ac:dyDescent="0.2">
      <c r="A14" s="175" t="s">
        <v>54</v>
      </c>
      <c r="B14" s="101">
        <f>L13</f>
        <v>63628</v>
      </c>
      <c r="M14" s="163"/>
      <c r="N14" s="180"/>
    </row>
    <row r="15" spans="1:14" x14ac:dyDescent="0.2">
      <c r="A15" s="175" t="s">
        <v>55</v>
      </c>
      <c r="B15" s="101">
        <f>B13-B14</f>
        <v>0</v>
      </c>
      <c r="M15" s="163"/>
      <c r="N15" s="180"/>
    </row>
    <row r="16" spans="1:14" x14ac:dyDescent="0.2">
      <c r="A16" s="175"/>
      <c r="M16" s="163"/>
      <c r="N16" s="180"/>
    </row>
    <row r="17" spans="1:14" ht="13.5" thickBot="1" x14ac:dyDescent="0.25">
      <c r="A17" s="181"/>
      <c r="B17" s="182"/>
      <c r="C17" s="183"/>
      <c r="D17" s="182"/>
      <c r="E17" s="182"/>
      <c r="F17" s="182"/>
      <c r="G17" s="183"/>
      <c r="H17" s="183"/>
      <c r="I17" s="183"/>
      <c r="J17" s="183"/>
      <c r="K17" s="183"/>
      <c r="L17" s="183"/>
      <c r="M17" s="183"/>
      <c r="N17" s="184"/>
    </row>
    <row r="18" spans="1:14" ht="13.5" thickBot="1" x14ac:dyDescent="0.25">
      <c r="A18" s="161"/>
      <c r="D18" s="161"/>
      <c r="E18" s="161"/>
      <c r="F18" s="161"/>
      <c r="G18" s="35"/>
      <c r="H18" s="35"/>
      <c r="I18" s="35"/>
      <c r="J18" s="35"/>
      <c r="K18" s="35"/>
      <c r="L18" s="35"/>
      <c r="M18" s="31"/>
      <c r="N18" s="35"/>
    </row>
    <row r="19" spans="1:14" ht="13.5" hidden="1" thickBot="1" x14ac:dyDescent="0.25">
      <c r="A19" s="168" t="s">
        <v>52</v>
      </c>
      <c r="B19" s="169"/>
      <c r="C19" s="169" t="s">
        <v>56</v>
      </c>
      <c r="D19" s="185"/>
      <c r="E19" s="185"/>
      <c r="F19" s="169" t="s">
        <v>57</v>
      </c>
      <c r="G19" s="77"/>
      <c r="H19" s="77"/>
      <c r="I19" s="77"/>
      <c r="J19" s="77"/>
      <c r="K19" s="77"/>
      <c r="L19" s="77"/>
      <c r="M19" s="78"/>
      <c r="N19" s="79"/>
    </row>
    <row r="20" spans="1:14" ht="13.5" hidden="1" thickBot="1" x14ac:dyDescent="0.25">
      <c r="A20" s="175" t="s">
        <v>58</v>
      </c>
      <c r="C20" s="163" t="s">
        <v>59</v>
      </c>
      <c r="D20" s="161"/>
      <c r="E20" s="161"/>
      <c r="F20" s="163" t="s">
        <v>60</v>
      </c>
      <c r="G20" s="35"/>
      <c r="H20" s="35"/>
      <c r="I20" s="35"/>
      <c r="J20" s="35"/>
      <c r="K20" s="35"/>
      <c r="L20" s="35"/>
      <c r="M20" s="31"/>
      <c r="N20" s="80"/>
    </row>
    <row r="21" spans="1:14" ht="13.5" hidden="1" thickBot="1" x14ac:dyDescent="0.25">
      <c r="A21" s="186" t="s">
        <v>61</v>
      </c>
      <c r="B21" s="183"/>
      <c r="C21" s="163" t="s">
        <v>62</v>
      </c>
      <c r="D21" s="183"/>
      <c r="E21" s="183"/>
      <c r="F21" s="183" t="s">
        <v>63</v>
      </c>
      <c r="G21" s="183"/>
      <c r="H21" s="183"/>
      <c r="I21" s="183"/>
      <c r="J21" s="183"/>
      <c r="K21" s="183"/>
      <c r="L21" s="183"/>
      <c r="M21" s="10"/>
      <c r="N21" s="81"/>
    </row>
    <row r="22" spans="1:14" ht="13.5" thickBot="1" x14ac:dyDescent="0.25">
      <c r="A22" s="165" t="s">
        <v>64</v>
      </c>
      <c r="B22" s="166"/>
      <c r="C22" s="166"/>
      <c r="D22" s="166"/>
      <c r="E22" s="166"/>
      <c r="F22" s="166"/>
      <c r="G22" s="166"/>
      <c r="H22" s="166"/>
      <c r="I22" s="166"/>
      <c r="J22" s="166"/>
      <c r="K22" s="166"/>
      <c r="L22" s="166"/>
      <c r="M22" s="68"/>
      <c r="N22" s="167"/>
    </row>
    <row r="23" spans="1:14" ht="13.5" thickBot="1" x14ac:dyDescent="0.25"/>
    <row r="24" spans="1:14" x14ac:dyDescent="0.2">
      <c r="A24" s="187" t="s">
        <v>65</v>
      </c>
      <c r="B24" s="188"/>
      <c r="C24" s="188"/>
      <c r="D24" s="188"/>
      <c r="E24" s="188"/>
      <c r="F24" s="189"/>
      <c r="G24" s="190"/>
      <c r="H24" s="190"/>
      <c r="I24" s="190"/>
      <c r="J24" s="190"/>
      <c r="K24" s="190"/>
      <c r="L24" s="190"/>
      <c r="M24" s="63"/>
      <c r="N24" s="64"/>
    </row>
    <row r="25" spans="1:14" s="195" customFormat="1" ht="11.25" x14ac:dyDescent="0.2">
      <c r="A25" s="191" t="s">
        <v>66</v>
      </c>
      <c r="B25" s="192"/>
      <c r="C25" s="192"/>
      <c r="D25" s="192"/>
      <c r="E25" s="192"/>
      <c r="F25" s="193"/>
      <c r="G25" s="194"/>
      <c r="H25" s="194"/>
      <c r="I25" s="194"/>
      <c r="J25" s="194"/>
      <c r="K25" s="194"/>
      <c r="L25" s="194"/>
      <c r="M25" s="6"/>
      <c r="N25" s="65"/>
    </row>
    <row r="26" spans="1:14" s="195" customFormat="1" ht="33.75" x14ac:dyDescent="0.2">
      <c r="A26" s="196" t="s">
        <v>67</v>
      </c>
      <c r="B26" s="197" t="s">
        <v>68</v>
      </c>
      <c r="C26" s="198" t="s">
        <v>69</v>
      </c>
      <c r="D26" s="198" t="s">
        <v>70</v>
      </c>
      <c r="E26" s="198"/>
      <c r="F26" s="198"/>
      <c r="G26" s="198" t="s">
        <v>39</v>
      </c>
      <c r="H26" s="198" t="s">
        <v>40</v>
      </c>
      <c r="I26" s="198" t="s">
        <v>41</v>
      </c>
      <c r="J26" s="198" t="s">
        <v>42</v>
      </c>
      <c r="K26" s="198" t="s">
        <v>43</v>
      </c>
      <c r="L26" s="198" t="s">
        <v>44</v>
      </c>
      <c r="M26" s="23" t="s">
        <v>45</v>
      </c>
      <c r="N26" s="66" t="s">
        <v>46</v>
      </c>
    </row>
    <row r="27" spans="1:14" hidden="1" outlineLevel="1" x14ac:dyDescent="0.2">
      <c r="A27" s="199" t="s">
        <v>75</v>
      </c>
      <c r="B27" s="200" t="s">
        <v>76</v>
      </c>
      <c r="C27" s="201" t="s">
        <v>56</v>
      </c>
      <c r="D27" s="202">
        <v>1</v>
      </c>
      <c r="E27" s="203">
        <v>0.03</v>
      </c>
      <c r="F27" s="204">
        <v>12</v>
      </c>
      <c r="G27" s="143">
        <v>3858</v>
      </c>
      <c r="H27" s="143">
        <v>0</v>
      </c>
      <c r="I27" s="85">
        <f>G27-H27</f>
        <v>3858</v>
      </c>
      <c r="J27" s="205">
        <v>0</v>
      </c>
      <c r="K27" s="205">
        <v>0</v>
      </c>
      <c r="L27" s="206">
        <f>SUM(J27:K27)</f>
        <v>0</v>
      </c>
      <c r="M27" s="16" t="str">
        <f>IFERROR(L27/H27,"N/A")</f>
        <v>N/A</v>
      </c>
      <c r="N27" s="207">
        <v>3858</v>
      </c>
    </row>
    <row r="28" spans="1:14" collapsed="1" x14ac:dyDescent="0.2">
      <c r="A28" s="199"/>
      <c r="B28" s="200"/>
      <c r="C28" s="201" t="s">
        <v>56</v>
      </c>
      <c r="D28" s="202">
        <f>SUM(D27)</f>
        <v>1</v>
      </c>
      <c r="E28" s="203"/>
      <c r="F28" s="204"/>
      <c r="G28" s="143">
        <f t="shared" ref="G28:L28" si="10">SUM(G27)</f>
        <v>3858</v>
      </c>
      <c r="H28" s="143">
        <f t="shared" si="10"/>
        <v>0</v>
      </c>
      <c r="I28" s="89">
        <f t="shared" si="10"/>
        <v>3858</v>
      </c>
      <c r="J28" s="205">
        <f t="shared" si="10"/>
        <v>0</v>
      </c>
      <c r="K28" s="205">
        <f t="shared" si="10"/>
        <v>0</v>
      </c>
      <c r="L28" s="206">
        <f t="shared" si="10"/>
        <v>0</v>
      </c>
      <c r="M28" s="16" t="str">
        <f t="shared" ref="M28" si="11">IFERROR(L28/H28,"N/A")</f>
        <v>N/A</v>
      </c>
      <c r="N28" s="207">
        <f>SUM(N27)</f>
        <v>3858</v>
      </c>
    </row>
    <row r="29" spans="1:14" hidden="1" outlineLevel="1" x14ac:dyDescent="0.2">
      <c r="A29" s="199" t="s">
        <v>71</v>
      </c>
      <c r="B29" s="200" t="s">
        <v>72</v>
      </c>
      <c r="C29" s="201" t="s">
        <v>62</v>
      </c>
      <c r="D29" s="202">
        <v>1</v>
      </c>
      <c r="E29" s="203">
        <v>0.1</v>
      </c>
      <c r="F29" s="204">
        <v>12</v>
      </c>
      <c r="G29" s="143">
        <v>12180</v>
      </c>
      <c r="H29" s="143">
        <v>0</v>
      </c>
      <c r="I29" s="89">
        <f>G29-H29</f>
        <v>12180</v>
      </c>
      <c r="J29" s="205">
        <v>0</v>
      </c>
      <c r="K29" s="205">
        <v>0</v>
      </c>
      <c r="L29" s="206">
        <f>SUM(J29:K29)</f>
        <v>0</v>
      </c>
      <c r="M29" s="16" t="str">
        <f>IFERROR(L29/H29,"N/A")</f>
        <v>N/A</v>
      </c>
      <c r="N29" s="207">
        <v>11773</v>
      </c>
    </row>
    <row r="30" spans="1:14" hidden="1" outlineLevel="1" x14ac:dyDescent="0.2">
      <c r="A30" s="199" t="s">
        <v>73</v>
      </c>
      <c r="B30" s="200" t="s">
        <v>74</v>
      </c>
      <c r="C30" s="201" t="s">
        <v>62</v>
      </c>
      <c r="D30" s="202">
        <v>1</v>
      </c>
      <c r="E30" s="203">
        <v>1</v>
      </c>
      <c r="F30" s="204">
        <v>12</v>
      </c>
      <c r="G30" s="143">
        <v>74318</v>
      </c>
      <c r="H30" s="143">
        <v>59106</v>
      </c>
      <c r="I30" s="89">
        <f>G30-H30</f>
        <v>15212</v>
      </c>
      <c r="J30" s="205">
        <v>29553</v>
      </c>
      <c r="K30" s="205">
        <v>29553</v>
      </c>
      <c r="L30" s="206">
        <f>SUM(J30:K30)</f>
        <v>59106</v>
      </c>
      <c r="M30" s="16">
        <f>IFERROR(L30/H30,"N/A")</f>
        <v>1</v>
      </c>
      <c r="N30" s="207">
        <v>71831</v>
      </c>
    </row>
    <row r="31" spans="1:14" collapsed="1" x14ac:dyDescent="0.2">
      <c r="A31" s="199"/>
      <c r="B31" s="200"/>
      <c r="C31" s="201" t="s">
        <v>62</v>
      </c>
      <c r="D31" s="202">
        <f>SUM(D29:D30)</f>
        <v>2</v>
      </c>
      <c r="E31" s="203"/>
      <c r="F31" s="204"/>
      <c r="G31" s="143">
        <f t="shared" ref="G31:L31" si="12">SUM(G29:G30)</f>
        <v>86498</v>
      </c>
      <c r="H31" s="143">
        <f t="shared" si="12"/>
        <v>59106</v>
      </c>
      <c r="I31" s="89">
        <f t="shared" si="12"/>
        <v>27392</v>
      </c>
      <c r="J31" s="205">
        <f t="shared" si="12"/>
        <v>29553</v>
      </c>
      <c r="K31" s="205">
        <f t="shared" si="12"/>
        <v>29553</v>
      </c>
      <c r="L31" s="206">
        <f t="shared" si="12"/>
        <v>59106</v>
      </c>
      <c r="M31" s="16">
        <f t="shared" ref="M31" si="13">IFERROR(L31/H31,"N/A")</f>
        <v>1</v>
      </c>
      <c r="N31" s="207">
        <f>SUM(N29:N30)</f>
        <v>83604</v>
      </c>
    </row>
    <row r="32" spans="1:14" x14ac:dyDescent="0.2">
      <c r="A32" s="199"/>
      <c r="B32" s="200"/>
      <c r="C32" s="201"/>
      <c r="D32" s="202"/>
      <c r="E32" s="203"/>
      <c r="F32" s="204"/>
      <c r="G32" s="143">
        <v>0</v>
      </c>
      <c r="H32" s="143">
        <v>0</v>
      </c>
      <c r="I32" s="89">
        <f t="shared" ref="I32:I33" si="14">G32-H32</f>
        <v>0</v>
      </c>
      <c r="J32" s="205">
        <v>0</v>
      </c>
      <c r="K32" s="205">
        <v>0</v>
      </c>
      <c r="L32" s="206">
        <f t="shared" ref="L32:L33" si="15">SUM(J32:K32)</f>
        <v>0</v>
      </c>
      <c r="M32" s="16" t="str">
        <f t="shared" ref="M32:M34" si="16">IFERROR(L32/H32,"N/A")</f>
        <v>N/A</v>
      </c>
      <c r="N32" s="207">
        <v>0</v>
      </c>
    </row>
    <row r="33" spans="1:14" x14ac:dyDescent="0.2">
      <c r="A33" s="199"/>
      <c r="B33" s="200"/>
      <c r="C33" s="201"/>
      <c r="D33" s="202"/>
      <c r="E33" s="203"/>
      <c r="F33" s="204"/>
      <c r="G33" s="143">
        <v>0</v>
      </c>
      <c r="H33" s="143">
        <v>0</v>
      </c>
      <c r="I33" s="89">
        <f t="shared" si="14"/>
        <v>0</v>
      </c>
      <c r="J33" s="205">
        <v>0</v>
      </c>
      <c r="K33" s="205">
        <v>0</v>
      </c>
      <c r="L33" s="206">
        <f t="shared" si="15"/>
        <v>0</v>
      </c>
      <c r="M33" s="16" t="str">
        <f t="shared" si="16"/>
        <v>N/A</v>
      </c>
      <c r="N33" s="207">
        <v>0</v>
      </c>
    </row>
    <row r="34" spans="1:14" ht="13.5" thickBot="1" x14ac:dyDescent="0.25">
      <c r="A34" s="208"/>
      <c r="B34" s="209"/>
      <c r="C34" s="210" t="s">
        <v>77</v>
      </c>
      <c r="D34" s="333">
        <f>SUM(D31,D28)</f>
        <v>3</v>
      </c>
      <c r="E34" s="211"/>
      <c r="F34" s="212"/>
      <c r="G34" s="83">
        <f t="shared" ref="G34:L34" si="17">SUM(G31,G28)</f>
        <v>90356</v>
      </c>
      <c r="H34" s="83">
        <f t="shared" si="17"/>
        <v>59106</v>
      </c>
      <c r="I34" s="83">
        <f t="shared" si="17"/>
        <v>31250</v>
      </c>
      <c r="J34" s="83">
        <f t="shared" si="17"/>
        <v>29553</v>
      </c>
      <c r="K34" s="83">
        <f t="shared" si="17"/>
        <v>29553</v>
      </c>
      <c r="L34" s="83">
        <f t="shared" si="17"/>
        <v>59106</v>
      </c>
      <c r="M34" s="67">
        <f t="shared" si="16"/>
        <v>1</v>
      </c>
      <c r="N34" s="84">
        <f>SUM(N31,N28)</f>
        <v>87462</v>
      </c>
    </row>
    <row r="35" spans="1:14" ht="13.5" thickBot="1" x14ac:dyDescent="0.25"/>
    <row r="36" spans="1:14" x14ac:dyDescent="0.2">
      <c r="A36" s="213" t="s">
        <v>78</v>
      </c>
      <c r="B36" s="214"/>
      <c r="C36" s="214"/>
      <c r="D36" s="214"/>
      <c r="E36" s="214"/>
      <c r="F36" s="215"/>
      <c r="G36" s="216"/>
      <c r="H36" s="216"/>
      <c r="I36" s="216"/>
      <c r="J36" s="216"/>
      <c r="K36" s="216"/>
      <c r="L36" s="216"/>
      <c r="M36" s="4"/>
      <c r="N36" s="3"/>
    </row>
    <row r="37" spans="1:14" s="195" customFormat="1" ht="11.25" x14ac:dyDescent="0.2">
      <c r="A37" s="217" t="s">
        <v>79</v>
      </c>
      <c r="B37" s="192"/>
      <c r="C37" s="192"/>
      <c r="D37" s="192"/>
      <c r="E37" s="192"/>
      <c r="F37" s="193"/>
      <c r="G37" s="194"/>
      <c r="H37" s="194"/>
      <c r="I37" s="194"/>
      <c r="J37" s="194"/>
      <c r="K37" s="194"/>
      <c r="L37" s="194"/>
      <c r="M37" s="6"/>
      <c r="N37" s="5"/>
    </row>
    <row r="38" spans="1:14" ht="33.75" x14ac:dyDescent="0.2">
      <c r="A38" s="218" t="s">
        <v>80</v>
      </c>
      <c r="B38" s="219"/>
      <c r="C38" s="220"/>
      <c r="D38" s="220"/>
      <c r="E38" s="220"/>
      <c r="F38" s="220"/>
      <c r="G38" s="198" t="s">
        <v>39</v>
      </c>
      <c r="H38" s="198" t="s">
        <v>40</v>
      </c>
      <c r="I38" s="198" t="s">
        <v>41</v>
      </c>
      <c r="J38" s="198" t="s">
        <v>42</v>
      </c>
      <c r="K38" s="198" t="s">
        <v>43</v>
      </c>
      <c r="L38" s="198" t="s">
        <v>44</v>
      </c>
      <c r="M38" s="23" t="s">
        <v>45</v>
      </c>
      <c r="N38" s="24" t="s">
        <v>46</v>
      </c>
    </row>
    <row r="39" spans="1:14" x14ac:dyDescent="0.2">
      <c r="A39" s="221" t="s">
        <v>81</v>
      </c>
      <c r="B39" s="222">
        <v>7.8899999999999998E-2</v>
      </c>
      <c r="C39" s="221"/>
      <c r="D39" s="223"/>
      <c r="E39" s="224"/>
      <c r="F39" s="225"/>
      <c r="G39" s="144">
        <f>G34*B39</f>
        <v>7129.0883999999996</v>
      </c>
      <c r="H39" s="144">
        <v>0</v>
      </c>
      <c r="I39" s="85">
        <f t="shared" ref="I39" si="18">G39-H39</f>
        <v>7129.0883999999996</v>
      </c>
      <c r="J39" s="205">
        <v>0</v>
      </c>
      <c r="K39" s="205">
        <v>0</v>
      </c>
      <c r="L39" s="85">
        <f>SUM(J39:K39)</f>
        <v>0</v>
      </c>
      <c r="M39" s="16" t="str">
        <f>IFERROR(L39/H39,"N/A")</f>
        <v>N/A</v>
      </c>
      <c r="N39" s="226">
        <v>6901</v>
      </c>
    </row>
    <row r="40" spans="1:14" x14ac:dyDescent="0.2">
      <c r="A40" s="221" t="s">
        <v>82</v>
      </c>
      <c r="B40" s="222">
        <v>9.2999999999999992E-3</v>
      </c>
      <c r="C40" s="145"/>
      <c r="D40" s="223"/>
      <c r="E40" s="224"/>
      <c r="F40" s="225"/>
      <c r="G40" s="144">
        <f>G34*B40</f>
        <v>840.31079999999997</v>
      </c>
      <c r="H40" s="144">
        <v>0</v>
      </c>
      <c r="I40" s="89">
        <f t="shared" ref="I40:I46" si="19">G40-H40</f>
        <v>840.31079999999997</v>
      </c>
      <c r="J40" s="205">
        <v>0</v>
      </c>
      <c r="K40" s="227">
        <v>0</v>
      </c>
      <c r="L40" s="89">
        <f t="shared" ref="L40:L46" si="20">SUM(J40:K40)</f>
        <v>0</v>
      </c>
      <c r="M40" s="15" t="str">
        <f t="shared" ref="M40:M46" si="21">IFERROR(L40/H40,"N/A")</f>
        <v>N/A</v>
      </c>
      <c r="N40" s="228">
        <v>813</v>
      </c>
    </row>
    <row r="41" spans="1:14" x14ac:dyDescent="0.2">
      <c r="A41" s="221" t="s">
        <v>83</v>
      </c>
      <c r="B41" s="229" t="s">
        <v>84</v>
      </c>
      <c r="C41" s="145"/>
      <c r="D41" s="223"/>
      <c r="E41" s="224"/>
      <c r="F41" s="225"/>
      <c r="G41" s="144">
        <f>G34*B41</f>
        <v>6912.2339999999995</v>
      </c>
      <c r="H41" s="144">
        <f>H29*B41</f>
        <v>0</v>
      </c>
      <c r="I41" s="89">
        <f t="shared" si="19"/>
        <v>6912.2339999999995</v>
      </c>
      <c r="J41" s="205">
        <v>2261</v>
      </c>
      <c r="K41" s="227">
        <v>2261</v>
      </c>
      <c r="L41" s="89">
        <f t="shared" si="20"/>
        <v>4522</v>
      </c>
      <c r="M41" s="15" t="str">
        <f t="shared" si="21"/>
        <v>N/A</v>
      </c>
      <c r="N41" s="228">
        <v>6691</v>
      </c>
    </row>
    <row r="42" spans="1:14" x14ac:dyDescent="0.2">
      <c r="A42" s="221" t="s">
        <v>85</v>
      </c>
      <c r="B42" s="229" t="s">
        <v>86</v>
      </c>
      <c r="C42" s="145"/>
      <c r="D42" s="223"/>
      <c r="E42" s="224"/>
      <c r="F42" s="225"/>
      <c r="G42" s="144">
        <f>G34*B42</f>
        <v>189.74759999999998</v>
      </c>
      <c r="H42" s="144">
        <v>0</v>
      </c>
      <c r="I42" s="89">
        <f t="shared" si="19"/>
        <v>189.74759999999998</v>
      </c>
      <c r="J42" s="205">
        <v>0</v>
      </c>
      <c r="K42" s="227">
        <v>0</v>
      </c>
      <c r="L42" s="89">
        <f t="shared" si="20"/>
        <v>0</v>
      </c>
      <c r="M42" s="15" t="str">
        <f t="shared" si="21"/>
        <v>N/A</v>
      </c>
      <c r="N42" s="228">
        <v>184</v>
      </c>
    </row>
    <row r="43" spans="1:14" x14ac:dyDescent="0.2">
      <c r="A43" s="221" t="s">
        <v>87</v>
      </c>
      <c r="B43" s="229" t="s">
        <v>88</v>
      </c>
      <c r="C43" s="145"/>
      <c r="D43" s="223"/>
      <c r="E43" s="224"/>
      <c r="F43" s="225"/>
      <c r="G43" s="144">
        <f>G34*B43</f>
        <v>1671.586</v>
      </c>
      <c r="H43" s="144">
        <v>0</v>
      </c>
      <c r="I43" s="89">
        <f t="shared" si="19"/>
        <v>1671.586</v>
      </c>
      <c r="J43" s="205">
        <v>0</v>
      </c>
      <c r="K43" s="227">
        <v>0</v>
      </c>
      <c r="L43" s="89">
        <f t="shared" si="20"/>
        <v>0</v>
      </c>
      <c r="M43" s="15" t="str">
        <f t="shared" si="21"/>
        <v>N/A</v>
      </c>
      <c r="N43" s="228">
        <v>1618</v>
      </c>
    </row>
    <row r="44" spans="1:14" x14ac:dyDescent="0.2">
      <c r="A44" s="230" t="s">
        <v>89</v>
      </c>
      <c r="B44" s="229" t="s">
        <v>90</v>
      </c>
      <c r="C44" s="145"/>
      <c r="D44" s="223"/>
      <c r="E44" s="224"/>
      <c r="F44" s="225"/>
      <c r="G44" s="144">
        <f>G34*B44</f>
        <v>5412.3244000000004</v>
      </c>
      <c r="H44" s="144">
        <v>0</v>
      </c>
      <c r="I44" s="89">
        <f t="shared" si="19"/>
        <v>5412.3244000000004</v>
      </c>
      <c r="J44" s="205">
        <v>0</v>
      </c>
      <c r="K44" s="227">
        <v>0</v>
      </c>
      <c r="L44" s="89">
        <f t="shared" si="20"/>
        <v>0</v>
      </c>
      <c r="M44" s="15" t="str">
        <f t="shared" si="21"/>
        <v>N/A</v>
      </c>
      <c r="N44" s="228">
        <v>5239</v>
      </c>
    </row>
    <row r="45" spans="1:14" x14ac:dyDescent="0.2">
      <c r="A45" s="230"/>
      <c r="B45" s="221"/>
      <c r="C45" s="145"/>
      <c r="D45" s="223"/>
      <c r="E45" s="224"/>
      <c r="F45" s="225"/>
      <c r="G45" s="144">
        <v>0</v>
      </c>
      <c r="H45" s="144">
        <v>0</v>
      </c>
      <c r="I45" s="89">
        <f t="shared" si="19"/>
        <v>0</v>
      </c>
      <c r="J45" s="205">
        <v>0</v>
      </c>
      <c r="K45" s="227">
        <v>0</v>
      </c>
      <c r="L45" s="89">
        <f t="shared" si="20"/>
        <v>0</v>
      </c>
      <c r="M45" s="15" t="str">
        <f t="shared" si="21"/>
        <v>N/A</v>
      </c>
      <c r="N45" s="228">
        <v>0</v>
      </c>
    </row>
    <row r="46" spans="1:14" x14ac:dyDescent="0.2">
      <c r="A46" s="231"/>
      <c r="B46" s="221"/>
      <c r="C46" s="146"/>
      <c r="D46" s="232"/>
      <c r="E46" s="233"/>
      <c r="F46" s="225"/>
      <c r="G46" s="144">
        <v>0</v>
      </c>
      <c r="H46" s="144">
        <v>0</v>
      </c>
      <c r="I46" s="89">
        <f t="shared" si="19"/>
        <v>0</v>
      </c>
      <c r="J46" s="205">
        <v>0</v>
      </c>
      <c r="K46" s="227">
        <v>0</v>
      </c>
      <c r="L46" s="89">
        <f t="shared" si="20"/>
        <v>0</v>
      </c>
      <c r="M46" s="15" t="str">
        <f t="shared" si="21"/>
        <v>N/A</v>
      </c>
      <c r="N46" s="228">
        <v>0</v>
      </c>
    </row>
    <row r="47" spans="1:14" ht="13.5" thickBot="1" x14ac:dyDescent="0.25">
      <c r="A47" s="186"/>
      <c r="B47" s="183"/>
      <c r="C47" s="234" t="s">
        <v>91</v>
      </c>
      <c r="D47" s="235"/>
      <c r="E47" s="235"/>
      <c r="F47" s="236"/>
      <c r="G47" s="90">
        <f t="shared" ref="G47:L47" si="22">SUM(G39:G46)</f>
        <v>22155.291200000003</v>
      </c>
      <c r="H47" s="90">
        <f t="shared" si="22"/>
        <v>0</v>
      </c>
      <c r="I47" s="90">
        <f t="shared" si="22"/>
        <v>22155.291200000003</v>
      </c>
      <c r="J47" s="90">
        <f t="shared" si="22"/>
        <v>2261</v>
      </c>
      <c r="K47" s="90">
        <f t="shared" si="22"/>
        <v>2261</v>
      </c>
      <c r="L47" s="90">
        <f t="shared" si="22"/>
        <v>4522</v>
      </c>
      <c r="M47" s="25" t="str">
        <f>IFERROR(L47/H47,"N/A")</f>
        <v>N/A</v>
      </c>
      <c r="N47" s="91">
        <f>SUM(N39:N46)</f>
        <v>21446</v>
      </c>
    </row>
    <row r="48" spans="1:14" ht="13.5" thickBot="1" x14ac:dyDescent="0.25"/>
    <row r="49" spans="1:14" s="195" customFormat="1" x14ac:dyDescent="0.2">
      <c r="A49" s="213" t="s">
        <v>92</v>
      </c>
      <c r="B49" s="214"/>
      <c r="C49" s="214"/>
      <c r="D49" s="214"/>
      <c r="E49" s="214"/>
      <c r="F49" s="215"/>
      <c r="G49" s="216"/>
      <c r="H49" s="216"/>
      <c r="I49" s="216"/>
      <c r="J49" s="216"/>
      <c r="K49" s="216"/>
      <c r="L49" s="216"/>
      <c r="M49" s="4"/>
      <c r="N49" s="3"/>
    </row>
    <row r="50" spans="1:14" s="195" customFormat="1" ht="11.25" x14ac:dyDescent="0.2">
      <c r="A50" s="217" t="s">
        <v>93</v>
      </c>
      <c r="B50" s="192"/>
      <c r="C50" s="192"/>
      <c r="D50" s="192"/>
      <c r="E50" s="192"/>
      <c r="F50" s="193"/>
      <c r="G50" s="194"/>
      <c r="H50" s="194"/>
      <c r="I50" s="194"/>
      <c r="J50" s="194"/>
      <c r="K50" s="194"/>
      <c r="L50" s="194"/>
      <c r="M50" s="6"/>
      <c r="N50" s="5"/>
    </row>
    <row r="51" spans="1:14" ht="33.75" x14ac:dyDescent="0.2">
      <c r="A51" s="218" t="s">
        <v>80</v>
      </c>
      <c r="B51" s="219"/>
      <c r="C51" s="220"/>
      <c r="D51" s="220"/>
      <c r="E51" s="220"/>
      <c r="F51" s="220"/>
      <c r="G51" s="198" t="s">
        <v>39</v>
      </c>
      <c r="H51" s="198" t="s">
        <v>40</v>
      </c>
      <c r="I51" s="198" t="s">
        <v>41</v>
      </c>
      <c r="J51" s="198" t="s">
        <v>42</v>
      </c>
      <c r="K51" s="198" t="s">
        <v>43</v>
      </c>
      <c r="L51" s="198" t="s">
        <v>44</v>
      </c>
      <c r="M51" s="23" t="s">
        <v>45</v>
      </c>
      <c r="N51" s="24" t="s">
        <v>46</v>
      </c>
    </row>
    <row r="52" spans="1:14" x14ac:dyDescent="0.2">
      <c r="A52" s="237" t="s">
        <v>94</v>
      </c>
      <c r="B52" s="238"/>
      <c r="C52" s="147"/>
      <c r="D52" s="239"/>
      <c r="E52" s="240"/>
      <c r="F52" s="225"/>
      <c r="G52" s="143">
        <f>1730.33*0.18</f>
        <v>311.45939999999996</v>
      </c>
      <c r="H52" s="143">
        <v>0</v>
      </c>
      <c r="I52" s="85">
        <f>G52-H52</f>
        <v>311.45939999999996</v>
      </c>
      <c r="J52" s="205">
        <v>0</v>
      </c>
      <c r="K52" s="205">
        <v>0</v>
      </c>
      <c r="L52" s="85">
        <f>SUM(J52:K52)</f>
        <v>0</v>
      </c>
      <c r="M52" s="16" t="str">
        <f>IFERROR(L52/H52,"N/A")</f>
        <v>N/A</v>
      </c>
      <c r="N52" s="226">
        <v>200</v>
      </c>
    </row>
    <row r="53" spans="1:14" x14ac:dyDescent="0.2">
      <c r="A53" s="241" t="s">
        <v>95</v>
      </c>
      <c r="B53" s="238"/>
      <c r="C53" s="147"/>
      <c r="D53" s="239"/>
      <c r="E53" s="240"/>
      <c r="F53" s="225"/>
      <c r="G53" s="143">
        <f>2881.99*0.18</f>
        <v>518.75819999999999</v>
      </c>
      <c r="H53" s="143">
        <v>0</v>
      </c>
      <c r="I53" s="89">
        <f t="shared" ref="I53:I61" si="23">G53-H53</f>
        <v>518.75819999999999</v>
      </c>
      <c r="J53" s="205">
        <v>0</v>
      </c>
      <c r="K53" s="227">
        <v>0</v>
      </c>
      <c r="L53" s="89">
        <f t="shared" ref="L53:L61" si="24">SUM(J53:K53)</f>
        <v>0</v>
      </c>
      <c r="M53" s="15" t="str">
        <f t="shared" ref="M53:M61" si="25">IFERROR(L53/H53,"N/A")</f>
        <v>N/A</v>
      </c>
      <c r="N53" s="228">
        <v>0</v>
      </c>
    </row>
    <row r="54" spans="1:14" x14ac:dyDescent="0.2">
      <c r="A54" s="241" t="s">
        <v>96</v>
      </c>
      <c r="B54" s="238"/>
      <c r="C54" s="147"/>
      <c r="D54" s="239"/>
      <c r="E54" s="240"/>
      <c r="F54" s="225"/>
      <c r="G54" s="144">
        <f>171.99*0.18</f>
        <v>30.958200000000001</v>
      </c>
      <c r="H54" s="144">
        <v>0</v>
      </c>
      <c r="I54" s="92">
        <f t="shared" si="23"/>
        <v>30.958200000000001</v>
      </c>
      <c r="J54" s="242">
        <v>0</v>
      </c>
      <c r="K54" s="242">
        <v>0</v>
      </c>
      <c r="L54" s="89">
        <f t="shared" si="24"/>
        <v>0</v>
      </c>
      <c r="M54" s="15" t="str">
        <f t="shared" si="25"/>
        <v>N/A</v>
      </c>
      <c r="N54" s="228">
        <v>0</v>
      </c>
    </row>
    <row r="55" spans="1:14" x14ac:dyDescent="0.2">
      <c r="A55" s="241" t="s">
        <v>97</v>
      </c>
      <c r="B55" s="238"/>
      <c r="C55" s="147"/>
      <c r="D55" s="239"/>
      <c r="E55" s="240"/>
      <c r="F55" s="225"/>
      <c r="G55" s="144">
        <v>0</v>
      </c>
      <c r="H55" s="144">
        <v>0</v>
      </c>
      <c r="I55" s="92">
        <f t="shared" si="23"/>
        <v>0</v>
      </c>
      <c r="J55" s="242">
        <v>0</v>
      </c>
      <c r="K55" s="242">
        <v>0</v>
      </c>
      <c r="L55" s="89">
        <f t="shared" si="24"/>
        <v>0</v>
      </c>
      <c r="M55" s="15" t="str">
        <f t="shared" si="25"/>
        <v>N/A</v>
      </c>
      <c r="N55" s="228">
        <v>0</v>
      </c>
    </row>
    <row r="56" spans="1:14" x14ac:dyDescent="0.2">
      <c r="A56" s="241" t="s">
        <v>98</v>
      </c>
      <c r="B56" s="238"/>
      <c r="C56" s="147"/>
      <c r="D56" s="239"/>
      <c r="E56" s="240"/>
      <c r="F56" s="225"/>
      <c r="G56" s="144">
        <v>0</v>
      </c>
      <c r="H56" s="144">
        <v>0</v>
      </c>
      <c r="I56" s="92">
        <f t="shared" si="23"/>
        <v>0</v>
      </c>
      <c r="J56" s="242">
        <v>0</v>
      </c>
      <c r="K56" s="242">
        <v>0</v>
      </c>
      <c r="L56" s="89">
        <f t="shared" si="24"/>
        <v>0</v>
      </c>
      <c r="M56" s="15" t="str">
        <f t="shared" si="25"/>
        <v>N/A</v>
      </c>
      <c r="N56" s="228">
        <v>0</v>
      </c>
    </row>
    <row r="57" spans="1:14" x14ac:dyDescent="0.2">
      <c r="A57" s="241" t="s">
        <v>99</v>
      </c>
      <c r="B57" s="238"/>
      <c r="C57" s="147"/>
      <c r="D57" s="239"/>
      <c r="E57" s="240"/>
      <c r="F57" s="225"/>
      <c r="G57" s="144">
        <f>670*0.18</f>
        <v>120.6</v>
      </c>
      <c r="H57" s="144">
        <v>0</v>
      </c>
      <c r="I57" s="92">
        <f t="shared" si="23"/>
        <v>120.6</v>
      </c>
      <c r="J57" s="242">
        <v>0</v>
      </c>
      <c r="K57" s="242">
        <v>0</v>
      </c>
      <c r="L57" s="89">
        <f t="shared" si="24"/>
        <v>0</v>
      </c>
      <c r="M57" s="15" t="str">
        <f t="shared" si="25"/>
        <v>N/A</v>
      </c>
      <c r="N57" s="228">
        <v>0</v>
      </c>
    </row>
    <row r="58" spans="1:14" x14ac:dyDescent="0.2">
      <c r="A58" s="241" t="s">
        <v>100</v>
      </c>
      <c r="B58" s="238"/>
      <c r="C58" s="147"/>
      <c r="D58" s="239"/>
      <c r="E58" s="240"/>
      <c r="F58" s="225"/>
      <c r="G58" s="144">
        <f>100*0.18</f>
        <v>18</v>
      </c>
      <c r="H58" s="144">
        <v>0</v>
      </c>
      <c r="I58" s="92">
        <f t="shared" si="23"/>
        <v>18</v>
      </c>
      <c r="J58" s="242">
        <v>0</v>
      </c>
      <c r="K58" s="242">
        <v>0</v>
      </c>
      <c r="L58" s="89">
        <f t="shared" si="24"/>
        <v>0</v>
      </c>
      <c r="M58" s="15" t="str">
        <f t="shared" si="25"/>
        <v>N/A</v>
      </c>
      <c r="N58" s="228">
        <v>0</v>
      </c>
    </row>
    <row r="59" spans="1:14" x14ac:dyDescent="0.2">
      <c r="A59" s="243" t="s">
        <v>101</v>
      </c>
      <c r="B59" s="238"/>
      <c r="C59" s="148"/>
      <c r="D59" s="244"/>
      <c r="E59" s="245"/>
      <c r="F59" s="225"/>
      <c r="G59" s="144">
        <f>25*12</f>
        <v>300</v>
      </c>
      <c r="H59" s="144">
        <v>0</v>
      </c>
      <c r="I59" s="92">
        <f t="shared" si="23"/>
        <v>300</v>
      </c>
      <c r="J59" s="242">
        <v>0</v>
      </c>
      <c r="K59" s="242">
        <v>0</v>
      </c>
      <c r="L59" s="89">
        <f t="shared" si="24"/>
        <v>0</v>
      </c>
      <c r="M59" s="15" t="str">
        <f t="shared" si="25"/>
        <v>N/A</v>
      </c>
      <c r="N59" s="228">
        <v>0</v>
      </c>
    </row>
    <row r="60" spans="1:14" x14ac:dyDescent="0.2">
      <c r="A60" s="243"/>
      <c r="B60" s="238"/>
      <c r="C60" s="148"/>
      <c r="D60" s="244"/>
      <c r="E60" s="245"/>
      <c r="F60" s="225"/>
      <c r="G60" s="144">
        <v>0</v>
      </c>
      <c r="H60" s="144">
        <v>0</v>
      </c>
      <c r="I60" s="92">
        <f t="shared" ref="I60" si="26">G60-H60</f>
        <v>0</v>
      </c>
      <c r="J60" s="242">
        <v>0</v>
      </c>
      <c r="K60" s="242">
        <v>0</v>
      </c>
      <c r="L60" s="89">
        <f t="shared" ref="L60" si="27">SUM(J60:K60)</f>
        <v>0</v>
      </c>
      <c r="M60" s="15" t="str">
        <f t="shared" ref="M60" si="28">IFERROR(L60/H60,"N/A")</f>
        <v>N/A</v>
      </c>
      <c r="N60" s="228">
        <v>0</v>
      </c>
    </row>
    <row r="61" spans="1:14" x14ac:dyDescent="0.2">
      <c r="A61" s="243"/>
      <c r="B61" s="238"/>
      <c r="C61" s="148"/>
      <c r="D61" s="244"/>
      <c r="E61" s="245"/>
      <c r="F61" s="225"/>
      <c r="G61" s="144">
        <v>0</v>
      </c>
      <c r="H61" s="144">
        <v>0</v>
      </c>
      <c r="I61" s="92">
        <f t="shared" si="23"/>
        <v>0</v>
      </c>
      <c r="J61" s="242">
        <v>0</v>
      </c>
      <c r="K61" s="242">
        <v>0</v>
      </c>
      <c r="L61" s="89">
        <f t="shared" si="24"/>
        <v>0</v>
      </c>
      <c r="M61" s="15" t="str">
        <f t="shared" si="25"/>
        <v>N/A</v>
      </c>
      <c r="N61" s="228">
        <v>0</v>
      </c>
    </row>
    <row r="62" spans="1:14" ht="13.5" thickBot="1" x14ac:dyDescent="0.25">
      <c r="A62" s="186"/>
      <c r="B62" s="183"/>
      <c r="C62" s="234" t="s">
        <v>102</v>
      </c>
      <c r="D62" s="235"/>
      <c r="E62" s="235"/>
      <c r="F62" s="236"/>
      <c r="G62" s="90">
        <f t="shared" ref="G62:L62" si="29">SUM(G52:G61)</f>
        <v>1299.7757999999999</v>
      </c>
      <c r="H62" s="90">
        <f t="shared" si="29"/>
        <v>0</v>
      </c>
      <c r="I62" s="90">
        <f t="shared" si="29"/>
        <v>1299.7757999999999</v>
      </c>
      <c r="J62" s="90">
        <f t="shared" si="29"/>
        <v>0</v>
      </c>
      <c r="K62" s="90">
        <f t="shared" si="29"/>
        <v>0</v>
      </c>
      <c r="L62" s="90">
        <f t="shared" si="29"/>
        <v>0</v>
      </c>
      <c r="M62" s="25" t="str">
        <f>IFERROR(L62/H62,"N/A")</f>
        <v>N/A</v>
      </c>
      <c r="N62" s="91">
        <f>SUM(N52:N61)</f>
        <v>200</v>
      </c>
    </row>
    <row r="63" spans="1:14" ht="13.5" thickBot="1" x14ac:dyDescent="0.25"/>
    <row r="64" spans="1:14" s="195" customFormat="1" x14ac:dyDescent="0.2">
      <c r="A64" s="246" t="s">
        <v>103</v>
      </c>
      <c r="B64" s="214"/>
      <c r="C64" s="214"/>
      <c r="D64" s="214"/>
      <c r="E64" s="214"/>
      <c r="F64" s="215"/>
      <c r="G64" s="216"/>
      <c r="H64" s="216"/>
      <c r="I64" s="216"/>
      <c r="J64" s="216"/>
      <c r="K64" s="216"/>
      <c r="L64" s="216"/>
      <c r="M64" s="4"/>
      <c r="N64" s="3"/>
    </row>
    <row r="65" spans="1:14" x14ac:dyDescent="0.2">
      <c r="A65" s="217" t="s">
        <v>104</v>
      </c>
      <c r="B65" s="192"/>
      <c r="C65" s="192"/>
      <c r="D65" s="192"/>
      <c r="E65" s="192"/>
      <c r="F65" s="193"/>
      <c r="G65" s="194"/>
      <c r="H65" s="194"/>
      <c r="I65" s="194"/>
      <c r="J65" s="194"/>
      <c r="K65" s="194"/>
      <c r="L65" s="194"/>
      <c r="M65" s="6"/>
      <c r="N65" s="5"/>
    </row>
    <row r="66" spans="1:14" ht="33.75" x14ac:dyDescent="0.2">
      <c r="A66" s="218" t="s">
        <v>80</v>
      </c>
      <c r="B66" s="219"/>
      <c r="C66" s="220"/>
      <c r="D66" s="220"/>
      <c r="E66" s="220"/>
      <c r="F66" s="220"/>
      <c r="G66" s="198" t="s">
        <v>39</v>
      </c>
      <c r="H66" s="198" t="s">
        <v>40</v>
      </c>
      <c r="I66" s="198" t="s">
        <v>41</v>
      </c>
      <c r="J66" s="198" t="s">
        <v>42</v>
      </c>
      <c r="K66" s="198" t="s">
        <v>43</v>
      </c>
      <c r="L66" s="198" t="s">
        <v>44</v>
      </c>
      <c r="M66" s="23" t="s">
        <v>45</v>
      </c>
      <c r="N66" s="24" t="s">
        <v>46</v>
      </c>
    </row>
    <row r="67" spans="1:14" x14ac:dyDescent="0.2">
      <c r="A67" s="237"/>
      <c r="B67" s="238"/>
      <c r="C67" s="147"/>
      <c r="D67" s="239"/>
      <c r="E67" s="240"/>
      <c r="F67" s="225"/>
      <c r="G67" s="144">
        <v>0</v>
      </c>
      <c r="H67" s="143">
        <v>0</v>
      </c>
      <c r="I67" s="85">
        <f t="shared" ref="I67:I69" si="30">G67-H67</f>
        <v>0</v>
      </c>
      <c r="J67" s="205">
        <v>0</v>
      </c>
      <c r="K67" s="205">
        <v>0</v>
      </c>
      <c r="L67" s="85">
        <f>SUM(J67:K67)</f>
        <v>0</v>
      </c>
      <c r="M67" s="16" t="str">
        <f>IFERROR(L67/H67,"N/A")</f>
        <v>N/A</v>
      </c>
      <c r="N67" s="226">
        <v>0</v>
      </c>
    </row>
    <row r="68" spans="1:14" x14ac:dyDescent="0.2">
      <c r="A68" s="241"/>
      <c r="B68" s="238"/>
      <c r="C68" s="147"/>
      <c r="D68" s="239"/>
      <c r="E68" s="240"/>
      <c r="F68" s="225"/>
      <c r="G68" s="144">
        <v>0</v>
      </c>
      <c r="H68" s="143">
        <v>0</v>
      </c>
      <c r="I68" s="89">
        <f t="shared" si="30"/>
        <v>0</v>
      </c>
      <c r="J68" s="205">
        <v>0</v>
      </c>
      <c r="K68" s="227">
        <v>0</v>
      </c>
      <c r="L68" s="89">
        <f>SUM(J68:K68)</f>
        <v>0</v>
      </c>
      <c r="M68" s="15" t="str">
        <f>IFERROR(L68/H68,"N/A")</f>
        <v>N/A</v>
      </c>
      <c r="N68" s="228">
        <v>0</v>
      </c>
    </row>
    <row r="69" spans="1:14" x14ac:dyDescent="0.2">
      <c r="A69" s="241"/>
      <c r="B69" s="238"/>
      <c r="C69" s="147"/>
      <c r="D69" s="239"/>
      <c r="E69" s="240"/>
      <c r="F69" s="225"/>
      <c r="G69" s="144">
        <v>0</v>
      </c>
      <c r="H69" s="143">
        <v>0</v>
      </c>
      <c r="I69" s="85">
        <f t="shared" si="30"/>
        <v>0</v>
      </c>
      <c r="J69" s="205">
        <v>0</v>
      </c>
      <c r="K69" s="205">
        <v>0</v>
      </c>
      <c r="L69" s="85">
        <f t="shared" ref="L69" si="31">SUM(J69:K69)</f>
        <v>0</v>
      </c>
      <c r="M69" s="16" t="str">
        <f t="shared" ref="M69" si="32">IFERROR(L69/H69,"N/A")</f>
        <v>N/A</v>
      </c>
      <c r="N69" s="226">
        <v>0</v>
      </c>
    </row>
    <row r="70" spans="1:14" ht="13.5" thickBot="1" x14ac:dyDescent="0.25">
      <c r="A70" s="186"/>
      <c r="B70" s="183"/>
      <c r="C70" s="234" t="s">
        <v>105</v>
      </c>
      <c r="D70" s="235"/>
      <c r="E70" s="235"/>
      <c r="F70" s="236"/>
      <c r="G70" s="90">
        <f t="shared" ref="G70:L70" si="33">SUM(G67:G69)</f>
        <v>0</v>
      </c>
      <c r="H70" s="90">
        <f t="shared" si="33"/>
        <v>0</v>
      </c>
      <c r="I70" s="90">
        <f t="shared" si="33"/>
        <v>0</v>
      </c>
      <c r="J70" s="90">
        <f t="shared" si="33"/>
        <v>0</v>
      </c>
      <c r="K70" s="90">
        <f t="shared" si="33"/>
        <v>0</v>
      </c>
      <c r="L70" s="90">
        <f t="shared" si="33"/>
        <v>0</v>
      </c>
      <c r="M70" s="25" t="str">
        <f>IFERROR(L70/H70,"N/A")</f>
        <v>N/A</v>
      </c>
      <c r="N70" s="91">
        <f>SUM(N67:N69)</f>
        <v>0</v>
      </c>
    </row>
    <row r="71" spans="1:14" ht="13.5" thickBot="1" x14ac:dyDescent="0.25"/>
    <row r="72" spans="1:14" s="195" customFormat="1" x14ac:dyDescent="0.2">
      <c r="A72" s="213" t="s">
        <v>106</v>
      </c>
      <c r="B72" s="214"/>
      <c r="C72" s="214"/>
      <c r="D72" s="214"/>
      <c r="E72" s="214"/>
      <c r="F72" s="215"/>
      <c r="G72" s="216"/>
      <c r="H72" s="216"/>
      <c r="I72" s="216"/>
      <c r="J72" s="216"/>
      <c r="K72" s="216"/>
      <c r="L72" s="216"/>
      <c r="M72" s="4"/>
      <c r="N72" s="3"/>
    </row>
    <row r="73" spans="1:14" x14ac:dyDescent="0.2">
      <c r="A73" s="217" t="s">
        <v>107</v>
      </c>
      <c r="B73" s="192"/>
      <c r="C73" s="192"/>
      <c r="D73" s="192"/>
      <c r="E73" s="192"/>
      <c r="F73" s="193"/>
      <c r="G73" s="194"/>
      <c r="H73" s="194"/>
      <c r="I73" s="194"/>
      <c r="J73" s="194"/>
      <c r="K73" s="194"/>
      <c r="L73" s="194"/>
      <c r="M73" s="6"/>
      <c r="N73" s="5"/>
    </row>
    <row r="74" spans="1:14" ht="33.75" x14ac:dyDescent="0.2">
      <c r="A74" s="218" t="s">
        <v>80</v>
      </c>
      <c r="B74" s="219"/>
      <c r="C74" s="220"/>
      <c r="D74" s="220"/>
      <c r="E74" s="220"/>
      <c r="F74" s="220"/>
      <c r="G74" s="198" t="s">
        <v>39</v>
      </c>
      <c r="H74" s="198" t="s">
        <v>40</v>
      </c>
      <c r="I74" s="198" t="s">
        <v>41</v>
      </c>
      <c r="J74" s="198" t="s">
        <v>42</v>
      </c>
      <c r="K74" s="198" t="s">
        <v>43</v>
      </c>
      <c r="L74" s="198" t="s">
        <v>44</v>
      </c>
      <c r="M74" s="23" t="s">
        <v>45</v>
      </c>
      <c r="N74" s="24" t="s">
        <v>46</v>
      </c>
    </row>
    <row r="75" spans="1:14" x14ac:dyDescent="0.2">
      <c r="A75" s="237"/>
      <c r="B75" s="238"/>
      <c r="C75" s="147"/>
      <c r="D75" s="239"/>
      <c r="E75" s="240"/>
      <c r="F75" s="225"/>
      <c r="G75" s="143">
        <v>0</v>
      </c>
      <c r="H75" s="143">
        <v>0</v>
      </c>
      <c r="I75" s="85">
        <f t="shared" ref="I75:I77" si="34">G75-H75</f>
        <v>0</v>
      </c>
      <c r="J75" s="205">
        <v>0</v>
      </c>
      <c r="K75" s="205">
        <v>0</v>
      </c>
      <c r="L75" s="85">
        <f>SUM(J75:K75)</f>
        <v>0</v>
      </c>
      <c r="M75" s="16" t="str">
        <f>IFERROR(L75/H75,"N/A")</f>
        <v>N/A</v>
      </c>
      <c r="N75" s="226">
        <v>0</v>
      </c>
    </row>
    <row r="76" spans="1:14" x14ac:dyDescent="0.2">
      <c r="A76" s="241"/>
      <c r="B76" s="238"/>
      <c r="C76" s="147"/>
      <c r="D76" s="239"/>
      <c r="E76" s="240"/>
      <c r="F76" s="225"/>
      <c r="G76" s="143">
        <v>0</v>
      </c>
      <c r="H76" s="143">
        <v>0</v>
      </c>
      <c r="I76" s="85">
        <f t="shared" si="34"/>
        <v>0</v>
      </c>
      <c r="J76" s="205">
        <v>0</v>
      </c>
      <c r="K76" s="205">
        <v>0</v>
      </c>
      <c r="L76" s="85">
        <f t="shared" ref="L76:L77" si="35">SUM(J76:K76)</f>
        <v>0</v>
      </c>
      <c r="M76" s="16" t="str">
        <f t="shared" ref="M76:M77" si="36">IFERROR(L76/H76,"N/A")</f>
        <v>N/A</v>
      </c>
      <c r="N76" s="226">
        <v>0</v>
      </c>
    </row>
    <row r="77" spans="1:14" x14ac:dyDescent="0.2">
      <c r="A77" s="241"/>
      <c r="B77" s="238"/>
      <c r="C77" s="147"/>
      <c r="D77" s="239"/>
      <c r="E77" s="240"/>
      <c r="F77" s="225"/>
      <c r="G77" s="143">
        <v>0</v>
      </c>
      <c r="H77" s="143">
        <v>0</v>
      </c>
      <c r="I77" s="85">
        <f t="shared" si="34"/>
        <v>0</v>
      </c>
      <c r="J77" s="205">
        <v>0</v>
      </c>
      <c r="K77" s="205">
        <v>0</v>
      </c>
      <c r="L77" s="85">
        <f t="shared" si="35"/>
        <v>0</v>
      </c>
      <c r="M77" s="16" t="str">
        <f t="shared" si="36"/>
        <v>N/A</v>
      </c>
      <c r="N77" s="226">
        <v>0</v>
      </c>
    </row>
    <row r="78" spans="1:14" ht="13.5" thickBot="1" x14ac:dyDescent="0.25">
      <c r="A78" s="186"/>
      <c r="B78" s="183"/>
      <c r="C78" s="234" t="s">
        <v>108</v>
      </c>
      <c r="D78" s="235"/>
      <c r="E78" s="235"/>
      <c r="F78" s="236"/>
      <c r="G78" s="90">
        <f t="shared" ref="G78:L78" si="37">SUM(G75:G77)</f>
        <v>0</v>
      </c>
      <c r="H78" s="90">
        <f t="shared" si="37"/>
        <v>0</v>
      </c>
      <c r="I78" s="90">
        <f t="shared" si="37"/>
        <v>0</v>
      </c>
      <c r="J78" s="90">
        <f t="shared" si="37"/>
        <v>0</v>
      </c>
      <c r="K78" s="90">
        <f t="shared" si="37"/>
        <v>0</v>
      </c>
      <c r="L78" s="90">
        <f t="shared" si="37"/>
        <v>0</v>
      </c>
      <c r="M78" s="25" t="str">
        <f>IFERROR(L78/H78,"N/A")</f>
        <v>N/A</v>
      </c>
      <c r="N78" s="91">
        <f>SUM(N75:N77)</f>
        <v>0</v>
      </c>
    </row>
    <row r="79" spans="1:14" ht="13.5" thickBot="1" x14ac:dyDescent="0.25"/>
    <row r="80" spans="1:14" s="195" customFormat="1" x14ac:dyDescent="0.2">
      <c r="A80" s="213" t="s">
        <v>109</v>
      </c>
      <c r="B80" s="214"/>
      <c r="C80" s="214"/>
      <c r="D80" s="214"/>
      <c r="E80" s="214"/>
      <c r="F80" s="215"/>
      <c r="G80" s="216"/>
      <c r="H80" s="216"/>
      <c r="I80" s="216"/>
      <c r="J80" s="216"/>
      <c r="K80" s="216"/>
      <c r="L80" s="216"/>
      <c r="M80" s="4"/>
      <c r="N80" s="3"/>
    </row>
    <row r="81" spans="1:14" x14ac:dyDescent="0.2">
      <c r="A81" s="217" t="s">
        <v>110</v>
      </c>
      <c r="B81" s="192"/>
      <c r="C81" s="192"/>
      <c r="D81" s="192"/>
      <c r="E81" s="192"/>
      <c r="F81" s="193"/>
      <c r="G81" s="194"/>
      <c r="H81" s="194"/>
      <c r="I81" s="194"/>
      <c r="J81" s="194"/>
      <c r="K81" s="194"/>
      <c r="L81" s="194"/>
      <c r="M81" s="6"/>
      <c r="N81" s="5"/>
    </row>
    <row r="82" spans="1:14" ht="33.75" x14ac:dyDescent="0.2">
      <c r="A82" s="218" t="s">
        <v>80</v>
      </c>
      <c r="B82" s="219"/>
      <c r="C82" s="220"/>
      <c r="D82" s="220"/>
      <c r="E82" s="220"/>
      <c r="F82" s="220"/>
      <c r="G82" s="198" t="s">
        <v>39</v>
      </c>
      <c r="H82" s="198" t="s">
        <v>40</v>
      </c>
      <c r="I82" s="198" t="s">
        <v>41</v>
      </c>
      <c r="J82" s="198" t="s">
        <v>42</v>
      </c>
      <c r="K82" s="198" t="s">
        <v>43</v>
      </c>
      <c r="L82" s="198" t="s">
        <v>44</v>
      </c>
      <c r="M82" s="23" t="s">
        <v>45</v>
      </c>
      <c r="N82" s="24" t="s">
        <v>46</v>
      </c>
    </row>
    <row r="83" spans="1:14" x14ac:dyDescent="0.2">
      <c r="A83" s="237"/>
      <c r="B83" s="238"/>
      <c r="C83" s="147"/>
      <c r="D83" s="239"/>
      <c r="E83" s="240"/>
      <c r="F83" s="225"/>
      <c r="G83" s="143">
        <v>0</v>
      </c>
      <c r="H83" s="143">
        <v>0</v>
      </c>
      <c r="I83" s="85">
        <f t="shared" ref="I83:I85" si="38">G83-H83</f>
        <v>0</v>
      </c>
      <c r="J83" s="205">
        <v>0</v>
      </c>
      <c r="K83" s="205">
        <v>0</v>
      </c>
      <c r="L83" s="85">
        <f>SUM(J83:K83)</f>
        <v>0</v>
      </c>
      <c r="M83" s="16" t="str">
        <f>IFERROR(L83/H83,"N/A")</f>
        <v>N/A</v>
      </c>
      <c r="N83" s="226">
        <v>0</v>
      </c>
    </row>
    <row r="84" spans="1:14" x14ac:dyDescent="0.2">
      <c r="A84" s="241"/>
      <c r="B84" s="238"/>
      <c r="C84" s="147"/>
      <c r="D84" s="239"/>
      <c r="E84" s="240"/>
      <c r="F84" s="225"/>
      <c r="G84" s="143">
        <v>0</v>
      </c>
      <c r="H84" s="143">
        <v>0</v>
      </c>
      <c r="I84" s="85">
        <f t="shared" si="38"/>
        <v>0</v>
      </c>
      <c r="J84" s="205">
        <v>0</v>
      </c>
      <c r="K84" s="205">
        <v>0</v>
      </c>
      <c r="L84" s="85">
        <f t="shared" ref="L84:L85" si="39">SUM(J84:K84)</f>
        <v>0</v>
      </c>
      <c r="M84" s="16" t="str">
        <f t="shared" ref="M84:M85" si="40">IFERROR(L84/H84,"N/A")</f>
        <v>N/A</v>
      </c>
      <c r="N84" s="226">
        <v>0</v>
      </c>
    </row>
    <row r="85" spans="1:14" x14ac:dyDescent="0.2">
      <c r="A85" s="241"/>
      <c r="B85" s="238"/>
      <c r="C85" s="147"/>
      <c r="D85" s="239"/>
      <c r="E85" s="240"/>
      <c r="F85" s="225"/>
      <c r="G85" s="143">
        <v>0</v>
      </c>
      <c r="H85" s="143">
        <v>0</v>
      </c>
      <c r="I85" s="85">
        <f t="shared" si="38"/>
        <v>0</v>
      </c>
      <c r="J85" s="205">
        <v>0</v>
      </c>
      <c r="K85" s="205">
        <v>0</v>
      </c>
      <c r="L85" s="85">
        <f t="shared" si="39"/>
        <v>0</v>
      </c>
      <c r="M85" s="16" t="str">
        <f t="shared" si="40"/>
        <v>N/A</v>
      </c>
      <c r="N85" s="226">
        <v>0</v>
      </c>
    </row>
    <row r="86" spans="1:14" ht="13.5" thickBot="1" x14ac:dyDescent="0.25">
      <c r="A86" s="186"/>
      <c r="B86" s="183"/>
      <c r="C86" s="234" t="s">
        <v>111</v>
      </c>
      <c r="D86" s="235"/>
      <c r="E86" s="235"/>
      <c r="F86" s="236"/>
      <c r="G86" s="90">
        <f t="shared" ref="G86:L86" si="41">SUM(G83:G85)</f>
        <v>0</v>
      </c>
      <c r="H86" s="90">
        <f t="shared" si="41"/>
        <v>0</v>
      </c>
      <c r="I86" s="90">
        <f t="shared" si="41"/>
        <v>0</v>
      </c>
      <c r="J86" s="90">
        <f t="shared" si="41"/>
        <v>0</v>
      </c>
      <c r="K86" s="90">
        <f t="shared" si="41"/>
        <v>0</v>
      </c>
      <c r="L86" s="90">
        <f t="shared" si="41"/>
        <v>0</v>
      </c>
      <c r="M86" s="25" t="str">
        <f>IFERROR(L86/H86,"N/A")</f>
        <v>N/A</v>
      </c>
      <c r="N86" s="91">
        <f>SUM(N83:N85)</f>
        <v>0</v>
      </c>
    </row>
    <row r="87" spans="1:14" ht="13.5" thickBot="1" x14ac:dyDescent="0.25"/>
    <row r="88" spans="1:14" s="195" customFormat="1" x14ac:dyDescent="0.2">
      <c r="A88" s="213" t="s">
        <v>112</v>
      </c>
      <c r="B88" s="214"/>
      <c r="C88" s="214"/>
      <c r="D88" s="214"/>
      <c r="E88" s="214"/>
      <c r="F88" s="215"/>
      <c r="G88" s="216"/>
      <c r="H88" s="216"/>
      <c r="I88" s="216"/>
      <c r="J88" s="216"/>
      <c r="K88" s="216"/>
      <c r="L88" s="216"/>
      <c r="M88" s="4"/>
      <c r="N88" s="3"/>
    </row>
    <row r="89" spans="1:14" s="195" customFormat="1" ht="11.25" x14ac:dyDescent="0.2">
      <c r="A89" s="217" t="s">
        <v>113</v>
      </c>
      <c r="B89" s="247"/>
      <c r="C89" s="247"/>
      <c r="D89" s="247"/>
      <c r="E89" s="247"/>
      <c r="F89" s="193"/>
      <c r="G89" s="193"/>
      <c r="H89" s="193"/>
      <c r="I89" s="193"/>
      <c r="J89" s="193"/>
      <c r="K89" s="193"/>
      <c r="L89" s="193"/>
      <c r="M89" s="69"/>
      <c r="N89" s="248"/>
    </row>
    <row r="90" spans="1:14" s="195" customFormat="1" ht="11.25" x14ac:dyDescent="0.2">
      <c r="A90" s="249" t="s">
        <v>114</v>
      </c>
      <c r="B90" s="247"/>
      <c r="C90" s="247"/>
      <c r="D90" s="247"/>
      <c r="E90" s="247"/>
      <c r="F90" s="193"/>
      <c r="G90" s="193"/>
      <c r="H90" s="193"/>
      <c r="I90" s="193"/>
      <c r="J90" s="193"/>
      <c r="K90" s="193"/>
      <c r="L90" s="193"/>
      <c r="M90" s="69"/>
      <c r="N90" s="248"/>
    </row>
    <row r="91" spans="1:14" s="195" customFormat="1" ht="11.25" x14ac:dyDescent="0.2">
      <c r="A91" s="249" t="s">
        <v>115</v>
      </c>
      <c r="B91" s="247"/>
      <c r="C91" s="247"/>
      <c r="D91" s="247"/>
      <c r="E91" s="247"/>
      <c r="F91" s="247"/>
      <c r="G91" s="26"/>
      <c r="H91" s="26"/>
      <c r="I91" s="26"/>
      <c r="J91" s="26"/>
      <c r="K91" s="26"/>
      <c r="L91" s="26"/>
      <c r="M91" s="27"/>
      <c r="N91" s="28"/>
    </row>
    <row r="92" spans="1:14" ht="34.5" thickBot="1" x14ac:dyDescent="0.25">
      <c r="A92" s="218" t="s">
        <v>80</v>
      </c>
      <c r="B92" s="219"/>
      <c r="C92" s="220"/>
      <c r="D92" s="220"/>
      <c r="E92" s="220"/>
      <c r="F92" s="220"/>
      <c r="G92" s="198" t="s">
        <v>39</v>
      </c>
      <c r="H92" s="198" t="s">
        <v>40</v>
      </c>
      <c r="I92" s="198" t="s">
        <v>41</v>
      </c>
      <c r="J92" s="198" t="s">
        <v>42</v>
      </c>
      <c r="K92" s="198" t="s">
        <v>43</v>
      </c>
      <c r="L92" s="198" t="s">
        <v>44</v>
      </c>
      <c r="M92" s="23" t="s">
        <v>45</v>
      </c>
      <c r="N92" s="24" t="s">
        <v>46</v>
      </c>
    </row>
    <row r="93" spans="1:14" ht="13.5" thickBot="1" x14ac:dyDescent="0.25">
      <c r="A93" s="250" t="s">
        <v>116</v>
      </c>
      <c r="B93" s="251"/>
      <c r="C93" s="149"/>
      <c r="D93" s="225"/>
      <c r="E93" s="252" t="s">
        <v>117</v>
      </c>
      <c r="F93" s="253">
        <f>IFERROR(H95/H97,"N/A")</f>
        <v>0</v>
      </c>
      <c r="G93" s="144">
        <f>SUM(G34+G47+G62)*0.1</f>
        <v>11381.106700000002</v>
      </c>
      <c r="H93" s="144">
        <v>0</v>
      </c>
      <c r="I93" s="92">
        <f>G93-H93</f>
        <v>11381.106700000002</v>
      </c>
      <c r="J93" s="242">
        <v>0</v>
      </c>
      <c r="K93" s="242">
        <v>0</v>
      </c>
      <c r="L93" s="85">
        <f>SUM(J93:K93)</f>
        <v>0</v>
      </c>
      <c r="M93" s="16" t="str">
        <f>IFERROR(L93/H93,"N/A")</f>
        <v>N/A</v>
      </c>
      <c r="N93" s="226">
        <v>10911</v>
      </c>
    </row>
    <row r="94" spans="1:14" ht="13.5" thickBot="1" x14ac:dyDescent="0.25">
      <c r="A94" s="254"/>
      <c r="B94" s="251"/>
      <c r="C94" s="150"/>
      <c r="D94" s="225"/>
      <c r="E94" s="252"/>
      <c r="F94" s="253"/>
      <c r="G94" s="144">
        <v>0</v>
      </c>
      <c r="H94" s="144">
        <v>0</v>
      </c>
      <c r="I94" s="92">
        <f t="shared" ref="I94" si="42">G94-H94</f>
        <v>0</v>
      </c>
      <c r="J94" s="242">
        <v>0</v>
      </c>
      <c r="K94" s="242">
        <v>0</v>
      </c>
      <c r="L94" s="92">
        <f>SUM(J94:K94)</f>
        <v>0</v>
      </c>
      <c r="M94" s="22" t="str">
        <f>IFERROR(L94/H94,"N/A")</f>
        <v>N/A</v>
      </c>
      <c r="N94" s="255">
        <v>0</v>
      </c>
    </row>
    <row r="95" spans="1:14" ht="13.5" thickBot="1" x14ac:dyDescent="0.25">
      <c r="A95" s="186"/>
      <c r="B95" s="183"/>
      <c r="C95" s="234" t="s">
        <v>118</v>
      </c>
      <c r="D95" s="235"/>
      <c r="E95" s="235"/>
      <c r="F95" s="256"/>
      <c r="G95" s="93">
        <f>SUM(G93:G94)</f>
        <v>11381.106700000002</v>
      </c>
      <c r="H95" s="93">
        <f>SUM(H93:H94)</f>
        <v>0</v>
      </c>
      <c r="I95" s="93">
        <f>SUM(I93:I94)</f>
        <v>11381.106700000002</v>
      </c>
      <c r="J95" s="93">
        <f t="shared" ref="J95:L95" si="43">SUM(J93:J94)</f>
        <v>0</v>
      </c>
      <c r="K95" s="93">
        <f t="shared" si="43"/>
        <v>0</v>
      </c>
      <c r="L95" s="93">
        <f t="shared" si="43"/>
        <v>0</v>
      </c>
      <c r="M95" s="82" t="str">
        <f>IFERROR(L95/H95,"N/A")</f>
        <v>N/A</v>
      </c>
      <c r="N95" s="94">
        <f>SUM(N93:N94)</f>
        <v>10911</v>
      </c>
    </row>
    <row r="96" spans="1:14" ht="13.5" thickBot="1" x14ac:dyDescent="0.25"/>
    <row r="97" spans="1:14" ht="15.75" thickBot="1" x14ac:dyDescent="0.3">
      <c r="A97" s="257"/>
      <c r="B97" s="258"/>
      <c r="C97" s="259" t="s">
        <v>119</v>
      </c>
      <c r="D97" s="258"/>
      <c r="E97" s="258"/>
      <c r="F97" s="260"/>
      <c r="G97" s="95">
        <f t="shared" ref="G97:L97" si="44">SUM(G95,G86,G78,G70,G62,G47,G34)</f>
        <v>125192.17370000001</v>
      </c>
      <c r="H97" s="95">
        <f t="shared" si="44"/>
        <v>59106</v>
      </c>
      <c r="I97" s="95">
        <f t="shared" si="44"/>
        <v>66086.173700000014</v>
      </c>
      <c r="J97" s="95">
        <f t="shared" si="44"/>
        <v>31814</v>
      </c>
      <c r="K97" s="95">
        <f t="shared" si="44"/>
        <v>31814</v>
      </c>
      <c r="L97" s="95">
        <f t="shared" si="44"/>
        <v>63628</v>
      </c>
      <c r="M97" s="2">
        <f>IFERROR(L97/H97,"N/A")</f>
        <v>1.076506615233648</v>
      </c>
      <c r="N97" s="96">
        <f>SUM(N95,N86,N78,N70,N62,N47,N34)</f>
        <v>120019</v>
      </c>
    </row>
    <row r="98" spans="1:14" ht="15" customHeight="1" thickBot="1" x14ac:dyDescent="0.25"/>
    <row r="99" spans="1:14" ht="15" x14ac:dyDescent="0.25">
      <c r="A99" s="261" t="s">
        <v>24</v>
      </c>
      <c r="B99" s="214"/>
      <c r="C99" s="214"/>
      <c r="D99" s="214"/>
      <c r="E99" s="214"/>
      <c r="F99" s="214"/>
      <c r="G99" s="214"/>
      <c r="H99" s="214"/>
      <c r="I99" s="214"/>
      <c r="J99" s="214"/>
      <c r="K99" s="214"/>
      <c r="L99" s="214"/>
      <c r="M99" s="214"/>
      <c r="N99" s="262"/>
    </row>
    <row r="100" spans="1:14" ht="14.25" x14ac:dyDescent="0.2">
      <c r="A100" s="263" t="s">
        <v>120</v>
      </c>
      <c r="B100" s="264"/>
      <c r="C100" s="264"/>
      <c r="D100" s="264"/>
      <c r="E100" s="264"/>
      <c r="F100" s="264"/>
      <c r="G100" s="264"/>
      <c r="H100" s="264"/>
      <c r="I100" s="264"/>
      <c r="J100" s="264"/>
      <c r="K100" s="264"/>
      <c r="L100" s="264"/>
      <c r="M100" s="264"/>
      <c r="N100" s="265"/>
    </row>
    <row r="101" spans="1:14" ht="15" x14ac:dyDescent="0.25">
      <c r="A101" s="263" t="s">
        <v>121</v>
      </c>
      <c r="B101" s="264"/>
      <c r="C101" s="264"/>
      <c r="D101" s="264"/>
      <c r="E101" s="264"/>
      <c r="F101" s="264"/>
      <c r="G101" s="264"/>
      <c r="H101" s="264"/>
      <c r="I101" s="264"/>
      <c r="J101" s="264"/>
      <c r="K101" s="264"/>
      <c r="L101" s="264"/>
      <c r="M101" s="264"/>
      <c r="N101" s="265"/>
    </row>
    <row r="102" spans="1:14" ht="15" x14ac:dyDescent="0.25">
      <c r="A102" s="263" t="s">
        <v>122</v>
      </c>
      <c r="B102" s="264"/>
      <c r="C102" s="264"/>
      <c r="D102" s="264"/>
      <c r="E102" s="264"/>
      <c r="F102" s="264"/>
      <c r="G102" s="264"/>
      <c r="H102" s="264"/>
      <c r="I102" s="264"/>
      <c r="J102" s="264"/>
      <c r="K102" s="264"/>
      <c r="L102" s="264"/>
      <c r="M102" s="264"/>
      <c r="N102" s="265"/>
    </row>
    <row r="103" spans="1:14" ht="45" customHeight="1" x14ac:dyDescent="0.2">
      <c r="A103" s="266" t="s">
        <v>123</v>
      </c>
      <c r="B103" s="267"/>
      <c r="C103" s="267" t="s">
        <v>80</v>
      </c>
      <c r="I103" s="268" t="s">
        <v>124</v>
      </c>
      <c r="J103" s="268" t="s">
        <v>125</v>
      </c>
      <c r="K103" s="268" t="s">
        <v>126</v>
      </c>
      <c r="L103" s="268" t="s">
        <v>127</v>
      </c>
      <c r="M103" s="76" t="s">
        <v>128</v>
      </c>
      <c r="N103" s="269" t="s">
        <v>129</v>
      </c>
    </row>
    <row r="104" spans="1:14" ht="15" customHeight="1" x14ac:dyDescent="0.2">
      <c r="A104" s="270" t="s">
        <v>130</v>
      </c>
      <c r="B104" s="102"/>
      <c r="C104" s="102"/>
      <c r="I104" s="103"/>
      <c r="J104" s="103"/>
      <c r="K104" s="103"/>
      <c r="L104" s="103"/>
      <c r="M104" s="11"/>
      <c r="N104" s="72"/>
    </row>
    <row r="105" spans="1:14" ht="15" customHeight="1" x14ac:dyDescent="0.2">
      <c r="A105" s="271"/>
      <c r="B105" s="151"/>
      <c r="C105" s="151"/>
      <c r="I105" s="143">
        <v>0</v>
      </c>
      <c r="J105" s="227">
        <v>0</v>
      </c>
      <c r="K105" s="227">
        <v>0</v>
      </c>
      <c r="L105" s="97">
        <f t="shared" ref="L105:L106" si="45">SUM(J105:K105)</f>
        <v>0</v>
      </c>
      <c r="M105" s="11"/>
      <c r="N105" s="72"/>
    </row>
    <row r="106" spans="1:14" ht="15" customHeight="1" x14ac:dyDescent="0.2">
      <c r="A106" s="271"/>
      <c r="B106" s="151"/>
      <c r="C106" s="151"/>
      <c r="I106" s="143">
        <v>0</v>
      </c>
      <c r="J106" s="227">
        <v>0</v>
      </c>
      <c r="K106" s="227">
        <v>0</v>
      </c>
      <c r="L106" s="97">
        <f t="shared" si="45"/>
        <v>0</v>
      </c>
      <c r="M106" s="11"/>
      <c r="N106" s="72"/>
    </row>
    <row r="107" spans="1:14" x14ac:dyDescent="0.2">
      <c r="A107" s="272" t="s">
        <v>131</v>
      </c>
      <c r="B107" s="102"/>
      <c r="I107" s="103"/>
      <c r="J107" s="103"/>
      <c r="K107" s="103"/>
      <c r="L107" s="103"/>
      <c r="M107" s="11"/>
      <c r="N107" s="72"/>
    </row>
    <row r="108" spans="1:14" ht="15" customHeight="1" x14ac:dyDescent="0.2">
      <c r="A108" s="271"/>
      <c r="B108" s="151"/>
      <c r="I108" s="143">
        <v>0</v>
      </c>
      <c r="J108" s="227">
        <v>0</v>
      </c>
      <c r="K108" s="227">
        <v>0</v>
      </c>
      <c r="L108" s="97">
        <f t="shared" ref="L108:L118" si="46">SUM(J108:K108)</f>
        <v>0</v>
      </c>
      <c r="M108" s="11"/>
      <c r="N108" s="72"/>
    </row>
    <row r="109" spans="1:14" ht="15" customHeight="1" x14ac:dyDescent="0.2">
      <c r="A109" s="271"/>
      <c r="B109" s="151"/>
      <c r="I109" s="143">
        <v>0</v>
      </c>
      <c r="J109" s="227">
        <v>0</v>
      </c>
      <c r="K109" s="227">
        <v>0</v>
      </c>
      <c r="L109" s="97">
        <f t="shared" si="46"/>
        <v>0</v>
      </c>
      <c r="M109" s="11"/>
      <c r="N109" s="72"/>
    </row>
    <row r="110" spans="1:14" x14ac:dyDescent="0.2">
      <c r="A110" s="272" t="s">
        <v>132</v>
      </c>
      <c r="B110" s="102"/>
      <c r="I110" s="103"/>
      <c r="J110" s="103"/>
      <c r="K110" s="103"/>
      <c r="L110" s="103"/>
      <c r="M110" s="11"/>
      <c r="N110" s="72"/>
    </row>
    <row r="111" spans="1:14" ht="15" customHeight="1" x14ac:dyDescent="0.2">
      <c r="A111" s="271"/>
      <c r="B111" s="151"/>
      <c r="I111" s="143">
        <v>0</v>
      </c>
      <c r="J111" s="227">
        <v>0</v>
      </c>
      <c r="K111" s="227">
        <v>0</v>
      </c>
      <c r="L111" s="97">
        <f t="shared" ref="L111:L112" si="47">SUM(J111:K111)</f>
        <v>0</v>
      </c>
      <c r="M111" s="11"/>
      <c r="N111" s="72"/>
    </row>
    <row r="112" spans="1:14" ht="15" customHeight="1" x14ac:dyDescent="0.2">
      <c r="A112" s="271"/>
      <c r="B112" s="151"/>
      <c r="I112" s="143">
        <v>0</v>
      </c>
      <c r="J112" s="227">
        <v>0</v>
      </c>
      <c r="K112" s="227">
        <v>0</v>
      </c>
      <c r="L112" s="97">
        <f t="shared" si="47"/>
        <v>0</v>
      </c>
      <c r="M112" s="11"/>
      <c r="N112" s="72"/>
    </row>
    <row r="113" spans="1:14" x14ac:dyDescent="0.2">
      <c r="A113" s="272" t="s">
        <v>133</v>
      </c>
      <c r="B113" s="102"/>
      <c r="I113" s="103"/>
      <c r="J113" s="103"/>
      <c r="K113" s="103"/>
      <c r="L113" s="103"/>
      <c r="M113" s="31"/>
      <c r="N113" s="73"/>
    </row>
    <row r="114" spans="1:14" ht="15" customHeight="1" x14ac:dyDescent="0.2">
      <c r="A114" s="271"/>
      <c r="B114" s="151"/>
      <c r="I114" s="143">
        <v>0</v>
      </c>
      <c r="J114" s="227">
        <v>0</v>
      </c>
      <c r="K114" s="227">
        <v>0</v>
      </c>
      <c r="L114" s="97">
        <f t="shared" ref="L114:L115" si="48">SUM(J114:K114)</f>
        <v>0</v>
      </c>
      <c r="M114" s="11"/>
      <c r="N114" s="72"/>
    </row>
    <row r="115" spans="1:14" ht="15" customHeight="1" x14ac:dyDescent="0.2">
      <c r="A115" s="271"/>
      <c r="B115" s="151"/>
      <c r="I115" s="143">
        <v>0</v>
      </c>
      <c r="J115" s="227">
        <v>0</v>
      </c>
      <c r="K115" s="227">
        <v>0</v>
      </c>
      <c r="L115" s="97">
        <f t="shared" si="48"/>
        <v>0</v>
      </c>
      <c r="M115" s="11"/>
      <c r="N115" s="72"/>
    </row>
    <row r="116" spans="1:14" x14ac:dyDescent="0.2">
      <c r="A116" s="272" t="s">
        <v>134</v>
      </c>
      <c r="B116" s="102"/>
      <c r="I116" s="103"/>
      <c r="J116" s="103"/>
      <c r="K116" s="103"/>
      <c r="L116" s="103"/>
      <c r="M116" s="31"/>
      <c r="N116" s="73"/>
    </row>
    <row r="117" spans="1:14" ht="15" customHeight="1" x14ac:dyDescent="0.2">
      <c r="A117" s="271"/>
      <c r="B117" s="151"/>
      <c r="I117" s="143">
        <v>0</v>
      </c>
      <c r="J117" s="227">
        <v>0</v>
      </c>
      <c r="K117" s="227">
        <v>0</v>
      </c>
      <c r="L117" s="97">
        <f t="shared" si="46"/>
        <v>0</v>
      </c>
      <c r="M117" s="11"/>
      <c r="N117" s="72"/>
    </row>
    <row r="118" spans="1:14" ht="15" customHeight="1" x14ac:dyDescent="0.2">
      <c r="A118" s="271"/>
      <c r="B118" s="151"/>
      <c r="I118" s="143">
        <v>0</v>
      </c>
      <c r="J118" s="227">
        <v>0</v>
      </c>
      <c r="K118" s="227">
        <v>0</v>
      </c>
      <c r="L118" s="97">
        <f t="shared" si="46"/>
        <v>0</v>
      </c>
      <c r="M118" s="11"/>
      <c r="N118" s="72"/>
    </row>
    <row r="119" spans="1:14" x14ac:dyDescent="0.2">
      <c r="A119" s="270" t="s">
        <v>135</v>
      </c>
      <c r="B119" s="102"/>
      <c r="I119" s="103"/>
      <c r="J119" s="103"/>
      <c r="K119" s="103"/>
      <c r="L119" s="103"/>
      <c r="M119" s="31"/>
      <c r="N119" s="73"/>
    </row>
    <row r="120" spans="1:14" ht="15" customHeight="1" x14ac:dyDescent="0.2">
      <c r="A120" s="271" t="s">
        <v>136</v>
      </c>
      <c r="B120" s="151"/>
      <c r="I120" s="143">
        <v>61565</v>
      </c>
      <c r="J120" s="227">
        <v>27106</v>
      </c>
      <c r="K120" s="227">
        <v>29285</v>
      </c>
      <c r="L120" s="97">
        <f t="shared" ref="L120:L121" si="49">SUM(J120:K120)</f>
        <v>56391</v>
      </c>
      <c r="M120" s="11"/>
      <c r="N120" s="72"/>
    </row>
    <row r="121" spans="1:14" ht="15" customHeight="1" x14ac:dyDescent="0.2">
      <c r="A121" s="271"/>
      <c r="B121" s="151"/>
      <c r="I121" s="143">
        <v>0</v>
      </c>
      <c r="J121" s="227">
        <v>0</v>
      </c>
      <c r="K121" s="227">
        <v>0</v>
      </c>
      <c r="L121" s="97">
        <f t="shared" si="49"/>
        <v>0</v>
      </c>
      <c r="M121" s="11"/>
      <c r="N121" s="72"/>
    </row>
    <row r="122" spans="1:14" ht="15.75" thickBot="1" x14ac:dyDescent="0.3">
      <c r="A122" s="273" t="s">
        <v>137</v>
      </c>
      <c r="B122" s="183"/>
      <c r="C122" s="183"/>
      <c r="D122" s="274" t="s">
        <v>138</v>
      </c>
      <c r="E122" s="275"/>
      <c r="F122" s="275"/>
      <c r="G122" s="275"/>
      <c r="H122" s="275"/>
      <c r="I122" s="98">
        <f>SUM(I104:I121)</f>
        <v>61565</v>
      </c>
      <c r="J122" s="98">
        <f t="shared" ref="J122:L122" si="50">SUM(J104:J121)</f>
        <v>27106</v>
      </c>
      <c r="K122" s="98">
        <f t="shared" si="50"/>
        <v>29285</v>
      </c>
      <c r="L122" s="98">
        <f t="shared" si="50"/>
        <v>56391</v>
      </c>
      <c r="M122" s="99">
        <f>N13-L13</f>
        <v>56391</v>
      </c>
      <c r="N122" s="100">
        <f>IFERROR(L122-M122,"N/A")</f>
        <v>0</v>
      </c>
    </row>
    <row r="123" spans="1:14" ht="13.5" thickBot="1" x14ac:dyDescent="0.25">
      <c r="A123" s="161"/>
      <c r="F123" s="276"/>
    </row>
    <row r="124" spans="1:14" x14ac:dyDescent="0.2">
      <c r="A124" s="277" t="s">
        <v>139</v>
      </c>
      <c r="B124" s="185"/>
      <c r="C124" s="185"/>
      <c r="D124" s="185"/>
      <c r="E124" s="185"/>
      <c r="F124" s="278"/>
      <c r="G124" s="278"/>
      <c r="H124" s="278"/>
      <c r="I124" s="278"/>
      <c r="J124" s="278"/>
      <c r="K124" s="278"/>
      <c r="L124" s="278"/>
      <c r="M124" s="14"/>
      <c r="N124" s="13"/>
    </row>
    <row r="125" spans="1:14" ht="13.5" thickBot="1" x14ac:dyDescent="0.25">
      <c r="A125" s="181" t="s">
        <v>140</v>
      </c>
      <c r="B125" s="182"/>
      <c r="C125" s="182"/>
      <c r="D125" s="182"/>
      <c r="E125" s="182"/>
      <c r="F125" s="279"/>
      <c r="G125" s="279"/>
      <c r="H125" s="279"/>
      <c r="I125" s="279"/>
      <c r="J125" s="279"/>
      <c r="K125" s="279"/>
      <c r="L125" s="279"/>
      <c r="M125" s="10"/>
      <c r="N125" s="9"/>
    </row>
  </sheetData>
  <sheetProtection algorithmName="SHA-512" hashValue="cZLO4tZ7gbvlaczKoIK2Trf3NDTM4RTTvYTyjAI+p5lipIj4nBesocOU6SFvnotzRWSWA7mTG6FNAI9OLUdkmw==" saltValue="W/y47T5iSFhOyGLd+fSc/w==" spinCount="100000" sheet="1" objects="1" scenarios="1"/>
  <sortState xmlns:xlrd2="http://schemas.microsoft.com/office/spreadsheetml/2017/richdata2" ref="A27:N30">
    <sortCondition descending="1" ref="C27:C30"/>
  </sortState>
  <conditionalFormatting sqref="B104:B121">
    <cfRule type="containsText" dxfId="7" priority="16" operator="containsText" text="VARIANCE">
      <formula>NOT(ISERROR(SEARCH("VARIANCE",B104)))</formula>
    </cfRule>
  </conditionalFormatting>
  <conditionalFormatting sqref="C104:C106">
    <cfRule type="containsText" dxfId="6" priority="1" operator="containsText" text="VARIANCE">
      <formula>NOT(ISERROR(SEARCH("VARIANCE",C104)))</formula>
    </cfRule>
  </conditionalFormatting>
  <conditionalFormatting sqref="I104:L104">
    <cfRule type="containsText" dxfId="5" priority="15" operator="containsText" text="VARIANCE">
      <formula>NOT(ISERROR(SEARCH("VARIANCE",I104)))</formula>
    </cfRule>
  </conditionalFormatting>
  <conditionalFormatting sqref="I107:L107">
    <cfRule type="containsText" dxfId="4" priority="14" operator="containsText" text="VARIANCE">
      <formula>NOT(ISERROR(SEARCH("VARIANCE",I107)))</formula>
    </cfRule>
  </conditionalFormatting>
  <conditionalFormatting sqref="I110:L110">
    <cfRule type="containsText" dxfId="3" priority="13" operator="containsText" text="VARIANCE">
      <formula>NOT(ISERROR(SEARCH("VARIANCE",I110)))</formula>
    </cfRule>
  </conditionalFormatting>
  <conditionalFormatting sqref="I113:L113">
    <cfRule type="containsText" dxfId="2" priority="12" operator="containsText" text="VARIANCE">
      <formula>NOT(ISERROR(SEARCH("VARIANCE",I113)))</formula>
    </cfRule>
  </conditionalFormatting>
  <conditionalFormatting sqref="I116:L116">
    <cfRule type="containsText" dxfId="1" priority="11" operator="containsText" text="VARIANCE">
      <formula>NOT(ISERROR(SEARCH("VARIANCE",I116)))</formula>
    </cfRule>
  </conditionalFormatting>
  <conditionalFormatting sqref="I119:L119">
    <cfRule type="containsText" dxfId="0" priority="10" operator="containsText" text="VARIANCE">
      <formula>NOT(ISERROR(SEARCH("VARIANCE",I119)))</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93:F94"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3" xr:uid="{00000000-0002-0000-0600-000002000000}">
      <formula1>0.9</formula1>
      <formula2>1.1</formula2>
    </dataValidation>
    <dataValidation type="list" allowBlank="1" showInputMessage="1" showErrorMessage="1" sqref="C27:C33" xr:uid="{74035CC8-3374-44B2-8A35-54AB49E229AE}">
      <formula1>$C$19:$C$21</formula1>
    </dataValidation>
    <dataValidation type="list" allowBlank="1" showInputMessage="1" showErrorMessage="1" sqref="C105:C106" xr:uid="{F93EA848-F649-4FD1-A87A-52E88083D79D}">
      <formula1>$F$19:$F$21</formula1>
    </dataValidation>
  </dataValidations>
  <pageMargins left="0.7" right="0.7" top="0.75" bottom="0.75" header="0.3" footer="0.3"/>
  <pageSetup scale="50" orientation="landscape" r:id="rId1"/>
  <headerFooter>
    <oddFooter>&amp;LCity of Santa Monica
Exhibit C1 - Program Budget&amp;C&amp;P&amp;RFiscal Year 2022-23
Human Services Grants Program</oddFooter>
  </headerFooter>
  <rowBreaks count="1" manualBreakCount="1">
    <brk id="71" max="13" man="1"/>
  </rowBreaks>
  <ignoredErrors>
    <ignoredError sqref="M6 M10:M11 M7:M9 M12:M13" formula="1"/>
    <ignoredError sqref="L105:L12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307" customWidth="1"/>
    <col min="2" max="5" width="17.28515625" style="308" customWidth="1"/>
    <col min="6" max="8" width="17.28515625" style="284" customWidth="1"/>
    <col min="9" max="9" width="17.140625" style="285" customWidth="1"/>
    <col min="10" max="16384" width="8.85546875" style="285"/>
  </cols>
  <sheetData>
    <row r="1" spans="1:8" ht="18" x14ac:dyDescent="0.2">
      <c r="A1" s="280" t="s">
        <v>36</v>
      </c>
      <c r="B1" s="281"/>
      <c r="C1" s="282"/>
      <c r="D1" s="282"/>
      <c r="E1" s="282"/>
      <c r="F1" s="283"/>
    </row>
    <row r="2" spans="1:8" ht="18" x14ac:dyDescent="0.2">
      <c r="A2" s="280" t="s">
        <v>141</v>
      </c>
      <c r="B2" s="286"/>
      <c r="C2" s="286"/>
      <c r="D2" s="287"/>
      <c r="E2" s="287"/>
      <c r="F2" s="286"/>
      <c r="G2" s="286"/>
      <c r="H2" s="286"/>
    </row>
    <row r="3" spans="1:8" ht="9.75" customHeight="1" x14ac:dyDescent="0.2">
      <c r="A3" s="280"/>
      <c r="B3" s="286"/>
      <c r="C3" s="286"/>
      <c r="D3" s="287"/>
      <c r="E3" s="287"/>
      <c r="F3" s="286"/>
      <c r="G3" s="286"/>
      <c r="H3" s="286"/>
    </row>
    <row r="4" spans="1:8" x14ac:dyDescent="0.2">
      <c r="A4" s="288"/>
      <c r="B4" s="281"/>
      <c r="C4" s="282"/>
      <c r="D4" s="282"/>
      <c r="E4" s="282"/>
      <c r="F4" s="283"/>
    </row>
    <row r="5" spans="1:8" s="292" customFormat="1" ht="45" x14ac:dyDescent="0.2">
      <c r="A5" s="289" t="s">
        <v>142</v>
      </c>
      <c r="B5" s="290" t="s">
        <v>143</v>
      </c>
      <c r="C5" s="290" t="s">
        <v>144</v>
      </c>
      <c r="D5" s="290" t="s">
        <v>145</v>
      </c>
      <c r="E5" s="291"/>
      <c r="G5" s="291"/>
      <c r="H5" s="291"/>
    </row>
    <row r="6" spans="1:8" s="292" customFormat="1" ht="14.25" x14ac:dyDescent="0.2">
      <c r="A6" s="293" t="s">
        <v>146</v>
      </c>
      <c r="B6" s="294">
        <v>32</v>
      </c>
      <c r="C6" s="295">
        <v>17</v>
      </c>
      <c r="D6" s="295">
        <v>29</v>
      </c>
      <c r="E6" s="291"/>
      <c r="G6" s="291"/>
      <c r="H6" s="291"/>
    </row>
    <row r="7" spans="1:8" s="292" customFormat="1" ht="14.25" x14ac:dyDescent="0.2">
      <c r="A7" s="293" t="s">
        <v>147</v>
      </c>
      <c r="B7" s="294">
        <v>32</v>
      </c>
      <c r="C7" s="295">
        <v>17</v>
      </c>
      <c r="D7" s="295">
        <v>29</v>
      </c>
      <c r="E7" s="291"/>
      <c r="G7" s="291"/>
      <c r="H7" s="291"/>
    </row>
    <row r="8" spans="1:8" s="292" customFormat="1" ht="14.25" x14ac:dyDescent="0.2">
      <c r="A8" s="293" t="s">
        <v>148</v>
      </c>
      <c r="B8" s="294">
        <v>18</v>
      </c>
      <c r="C8" s="295" t="s">
        <v>149</v>
      </c>
      <c r="D8" s="295" t="s">
        <v>150</v>
      </c>
      <c r="E8" s="291"/>
      <c r="G8" s="291"/>
      <c r="H8" s="291"/>
    </row>
    <row r="9" spans="1:8" s="292" customFormat="1" ht="14.25" x14ac:dyDescent="0.2">
      <c r="A9" s="293" t="s">
        <v>151</v>
      </c>
      <c r="B9" s="294">
        <v>1</v>
      </c>
      <c r="C9" s="295">
        <v>0</v>
      </c>
      <c r="D9" s="295">
        <v>0</v>
      </c>
      <c r="E9" s="291"/>
      <c r="G9" s="291"/>
      <c r="H9" s="291"/>
    </row>
    <row r="10" spans="1:8" s="292" customFormat="1" ht="14.25" x14ac:dyDescent="0.2">
      <c r="A10" s="293" t="s">
        <v>152</v>
      </c>
      <c r="B10" s="294">
        <v>8</v>
      </c>
      <c r="C10" s="295">
        <v>3</v>
      </c>
      <c r="D10" s="295">
        <v>5</v>
      </c>
      <c r="E10" s="291"/>
      <c r="G10" s="291"/>
      <c r="H10" s="291"/>
    </row>
    <row r="11" spans="1:8" s="292" customFormat="1" ht="14.25" x14ac:dyDescent="0.2">
      <c r="A11" s="293" t="s">
        <v>153</v>
      </c>
      <c r="B11" s="294">
        <v>0</v>
      </c>
      <c r="C11" s="295">
        <v>0</v>
      </c>
      <c r="D11" s="295">
        <v>0</v>
      </c>
      <c r="E11" s="291"/>
      <c r="G11" s="291"/>
      <c r="H11" s="291"/>
    </row>
    <row r="12" spans="1:8" s="292" customFormat="1" ht="14.25" x14ac:dyDescent="0.2">
      <c r="A12" s="293" t="s">
        <v>154</v>
      </c>
      <c r="B12" s="294">
        <v>12</v>
      </c>
      <c r="C12" s="295">
        <v>6</v>
      </c>
      <c r="D12" s="295">
        <v>11</v>
      </c>
      <c r="E12" s="291"/>
      <c r="G12" s="291"/>
      <c r="H12" s="291"/>
    </row>
    <row r="13" spans="1:8" s="292" customFormat="1" ht="14.25" x14ac:dyDescent="0.2">
      <c r="A13" s="293" t="s">
        <v>155</v>
      </c>
      <c r="B13" s="294">
        <v>8</v>
      </c>
      <c r="C13" s="295">
        <v>0</v>
      </c>
      <c r="D13" s="295">
        <v>0</v>
      </c>
      <c r="E13" s="291"/>
      <c r="G13" s="291"/>
      <c r="H13" s="291"/>
    </row>
    <row r="14" spans="1:8" s="292" customFormat="1" ht="14.25" x14ac:dyDescent="0.2">
      <c r="A14" s="296"/>
      <c r="B14" s="297"/>
      <c r="C14" s="297"/>
      <c r="D14" s="297"/>
      <c r="E14" s="291"/>
      <c r="G14" s="291"/>
      <c r="H14" s="291"/>
    </row>
    <row r="15" spans="1:8" s="292" customFormat="1" ht="30" x14ac:dyDescent="0.2">
      <c r="A15" s="289" t="s">
        <v>156</v>
      </c>
      <c r="B15" s="290" t="s">
        <v>143</v>
      </c>
      <c r="C15" s="290" t="s">
        <v>144</v>
      </c>
      <c r="D15" s="290" t="s">
        <v>145</v>
      </c>
      <c r="E15" s="291"/>
      <c r="G15" s="291"/>
      <c r="H15" s="291"/>
    </row>
    <row r="16" spans="1:8" s="292" customFormat="1" ht="14.25" x14ac:dyDescent="0.2">
      <c r="A16" s="293" t="s">
        <v>157</v>
      </c>
      <c r="B16" s="294">
        <v>2</v>
      </c>
      <c r="C16" s="295"/>
      <c r="D16" s="295"/>
      <c r="E16" s="291"/>
      <c r="G16" s="291"/>
      <c r="H16" s="291"/>
    </row>
    <row r="17" spans="1:8" s="292" customFormat="1" ht="14.25" x14ac:dyDescent="0.2">
      <c r="A17" s="293" t="s">
        <v>158</v>
      </c>
      <c r="B17" s="294">
        <v>3</v>
      </c>
      <c r="C17" s="295">
        <v>2</v>
      </c>
      <c r="D17" s="295">
        <v>4</v>
      </c>
      <c r="E17" s="291"/>
      <c r="G17" s="291"/>
      <c r="H17" s="291"/>
    </row>
    <row r="18" spans="1:8" s="292" customFormat="1" ht="14.25" x14ac:dyDescent="0.2">
      <c r="A18" s="293" t="s">
        <v>159</v>
      </c>
      <c r="B18" s="294">
        <v>5</v>
      </c>
      <c r="C18" s="295">
        <v>7</v>
      </c>
      <c r="D18" s="295">
        <v>10</v>
      </c>
      <c r="E18" s="291"/>
      <c r="G18" s="291"/>
      <c r="H18" s="291"/>
    </row>
    <row r="19" spans="1:8" s="292" customFormat="1" ht="14.25" x14ac:dyDescent="0.2">
      <c r="A19" s="293" t="s">
        <v>160</v>
      </c>
      <c r="B19" s="294">
        <v>16</v>
      </c>
      <c r="C19" s="295">
        <v>5</v>
      </c>
      <c r="D19" s="295">
        <v>6</v>
      </c>
      <c r="E19" s="291"/>
      <c r="G19" s="291"/>
      <c r="H19" s="291"/>
    </row>
    <row r="20" spans="1:8" s="292" customFormat="1" ht="14.25" x14ac:dyDescent="0.2">
      <c r="A20" s="293" t="s">
        <v>161</v>
      </c>
      <c r="B20" s="294">
        <v>6</v>
      </c>
      <c r="C20" s="295">
        <v>3</v>
      </c>
      <c r="D20" s="295">
        <v>6</v>
      </c>
      <c r="E20" s="291"/>
      <c r="G20" s="291"/>
      <c r="H20" s="291"/>
    </row>
    <row r="21" spans="1:8" s="292" customFormat="1" ht="14.25" x14ac:dyDescent="0.2">
      <c r="A21" s="293" t="s">
        <v>162</v>
      </c>
      <c r="B21" s="294">
        <v>0</v>
      </c>
      <c r="C21" s="295"/>
      <c r="D21" s="295">
        <v>3</v>
      </c>
      <c r="E21" s="291"/>
      <c r="G21" s="291"/>
      <c r="H21" s="291"/>
    </row>
    <row r="22" spans="1:8" s="292" customFormat="1" ht="14.25" x14ac:dyDescent="0.2">
      <c r="A22" s="293" t="s">
        <v>163</v>
      </c>
      <c r="B22" s="294">
        <v>0</v>
      </c>
      <c r="C22" s="295"/>
      <c r="D22" s="295"/>
      <c r="E22" s="291"/>
      <c r="G22" s="291"/>
      <c r="H22" s="291"/>
    </row>
    <row r="23" spans="1:8" s="292" customFormat="1" ht="15" x14ac:dyDescent="0.2">
      <c r="A23" s="298" t="s">
        <v>164</v>
      </c>
      <c r="B23" s="299">
        <f>SUM(B16:B22)</f>
        <v>32</v>
      </c>
      <c r="C23" s="299">
        <f t="shared" ref="C23:D23" si="0">SUM(C16:C22)</f>
        <v>17</v>
      </c>
      <c r="D23" s="299">
        <f t="shared" si="0"/>
        <v>29</v>
      </c>
      <c r="E23" s="291"/>
      <c r="G23" s="291"/>
      <c r="H23" s="291"/>
    </row>
    <row r="24" spans="1:8" s="292" customFormat="1" ht="14.25" x14ac:dyDescent="0.2">
      <c r="B24" s="297"/>
      <c r="C24" s="297"/>
      <c r="D24" s="297"/>
      <c r="E24" s="291"/>
      <c r="G24" s="291"/>
      <c r="H24" s="291"/>
    </row>
    <row r="25" spans="1:8" s="292" customFormat="1" ht="30" x14ac:dyDescent="0.2">
      <c r="A25" s="289" t="s">
        <v>165</v>
      </c>
      <c r="B25" s="290" t="s">
        <v>143</v>
      </c>
      <c r="C25" s="290" t="s">
        <v>144</v>
      </c>
      <c r="D25" s="290" t="s">
        <v>145</v>
      </c>
      <c r="E25" s="291"/>
      <c r="G25" s="291"/>
      <c r="H25" s="291"/>
    </row>
    <row r="26" spans="1:8" s="292" customFormat="1" ht="14.25" x14ac:dyDescent="0.2">
      <c r="A26" s="293">
        <v>90401</v>
      </c>
      <c r="B26" s="294">
        <v>2</v>
      </c>
      <c r="C26" s="295">
        <v>1</v>
      </c>
      <c r="D26" s="295">
        <v>2</v>
      </c>
      <c r="E26" s="291"/>
      <c r="G26" s="291"/>
      <c r="H26" s="291"/>
    </row>
    <row r="27" spans="1:8" s="292" customFormat="1" ht="14.25" x14ac:dyDescent="0.2">
      <c r="A27" s="293">
        <v>90402</v>
      </c>
      <c r="B27" s="294">
        <v>0</v>
      </c>
      <c r="C27" s="295"/>
      <c r="D27" s="295"/>
      <c r="E27" s="291"/>
      <c r="G27" s="291"/>
      <c r="H27" s="291"/>
    </row>
    <row r="28" spans="1:8" s="292" customFormat="1" ht="14.25" x14ac:dyDescent="0.2">
      <c r="A28" s="293">
        <v>90403</v>
      </c>
      <c r="B28" s="294">
        <v>0</v>
      </c>
      <c r="C28" s="295"/>
      <c r="D28" s="295"/>
      <c r="E28" s="291"/>
      <c r="G28" s="291"/>
      <c r="H28" s="291"/>
    </row>
    <row r="29" spans="1:8" s="292" customFormat="1" ht="14.25" x14ac:dyDescent="0.2">
      <c r="A29" s="293">
        <v>90404</v>
      </c>
      <c r="B29" s="294">
        <v>12</v>
      </c>
      <c r="C29" s="295">
        <v>6</v>
      </c>
      <c r="D29" s="295">
        <v>11</v>
      </c>
      <c r="E29" s="291"/>
      <c r="G29" s="291"/>
      <c r="H29" s="291"/>
    </row>
    <row r="30" spans="1:8" s="292" customFormat="1" ht="14.25" x14ac:dyDescent="0.2">
      <c r="A30" s="293">
        <v>90405</v>
      </c>
      <c r="B30" s="294">
        <v>8</v>
      </c>
      <c r="C30" s="295">
        <v>7</v>
      </c>
      <c r="D30" s="295">
        <v>11</v>
      </c>
      <c r="E30" s="291"/>
      <c r="G30" s="291"/>
      <c r="H30" s="291"/>
    </row>
    <row r="31" spans="1:8" s="292" customFormat="1" ht="14.25" x14ac:dyDescent="0.2">
      <c r="A31" s="293" t="s">
        <v>166</v>
      </c>
      <c r="B31" s="294">
        <v>10</v>
      </c>
      <c r="C31" s="295">
        <v>3</v>
      </c>
      <c r="D31" s="295">
        <v>5</v>
      </c>
      <c r="E31" s="291"/>
      <c r="G31" s="291"/>
      <c r="H31" s="291"/>
    </row>
    <row r="32" spans="1:8" s="292" customFormat="1" ht="15" x14ac:dyDescent="0.2">
      <c r="A32" s="298" t="s">
        <v>164</v>
      </c>
      <c r="B32" s="299">
        <f>SUM(B26:B31)</f>
        <v>32</v>
      </c>
      <c r="C32" s="299">
        <f>SUM(C26:C31)</f>
        <v>17</v>
      </c>
      <c r="D32" s="299">
        <f>SUM(D26:D31)</f>
        <v>29</v>
      </c>
      <c r="E32" s="291"/>
      <c r="G32" s="291"/>
      <c r="H32" s="291"/>
    </row>
    <row r="33" spans="1:9" s="292" customFormat="1" ht="14.25" x14ac:dyDescent="0.2">
      <c r="B33" s="291"/>
      <c r="C33" s="297"/>
      <c r="D33" s="297"/>
      <c r="E33" s="291"/>
      <c r="G33" s="291"/>
      <c r="H33" s="291"/>
    </row>
    <row r="34" spans="1:9" s="292" customFormat="1" ht="30" customHeight="1" x14ac:dyDescent="0.2">
      <c r="A34" s="317" t="s">
        <v>167</v>
      </c>
      <c r="B34" s="319" t="s">
        <v>144</v>
      </c>
      <c r="C34" s="320"/>
      <c r="D34" s="320"/>
      <c r="E34" s="321"/>
      <c r="F34" s="319" t="s">
        <v>145</v>
      </c>
      <c r="G34" s="320"/>
      <c r="H34" s="320"/>
      <c r="I34" s="321"/>
    </row>
    <row r="35" spans="1:9" s="292" customFormat="1" ht="22.5" customHeight="1" x14ac:dyDescent="0.2">
      <c r="A35" s="318"/>
      <c r="B35" s="290" t="s">
        <v>168</v>
      </c>
      <c r="C35" s="290" t="s">
        <v>169</v>
      </c>
      <c r="D35" s="290" t="s">
        <v>170</v>
      </c>
      <c r="E35" s="290" t="s">
        <v>171</v>
      </c>
      <c r="F35" s="290" t="s">
        <v>168</v>
      </c>
      <c r="G35" s="290" t="s">
        <v>169</v>
      </c>
      <c r="H35" s="290" t="s">
        <v>170</v>
      </c>
      <c r="I35" s="290" t="s">
        <v>171</v>
      </c>
    </row>
    <row r="36" spans="1:9" s="292" customFormat="1" ht="14.25" x14ac:dyDescent="0.2">
      <c r="A36" s="300" t="s">
        <v>172</v>
      </c>
      <c r="B36" s="301"/>
      <c r="C36" s="302"/>
      <c r="D36" s="302"/>
      <c r="E36" s="302"/>
      <c r="F36" s="301"/>
      <c r="G36" s="302"/>
      <c r="H36" s="302"/>
      <c r="I36" s="302"/>
    </row>
    <row r="37" spans="1:9" s="292" customFormat="1" ht="14.25" x14ac:dyDescent="0.2">
      <c r="A37" s="303" t="s">
        <v>173</v>
      </c>
      <c r="B37" s="304">
        <v>10</v>
      </c>
      <c r="C37" s="302">
        <v>7</v>
      </c>
      <c r="D37" s="302"/>
      <c r="E37" s="302"/>
      <c r="F37" s="301">
        <v>9</v>
      </c>
      <c r="G37" s="302">
        <v>20</v>
      </c>
      <c r="H37" s="302"/>
      <c r="I37" s="302"/>
    </row>
    <row r="38" spans="1:9" s="292" customFormat="1" ht="14.25" x14ac:dyDescent="0.2">
      <c r="A38" s="303" t="s">
        <v>174</v>
      </c>
      <c r="B38" s="304"/>
      <c r="C38" s="302"/>
      <c r="D38" s="302"/>
      <c r="E38" s="302"/>
      <c r="F38" s="301"/>
      <c r="G38" s="302"/>
      <c r="H38" s="302"/>
      <c r="I38" s="302"/>
    </row>
    <row r="39" spans="1:9" s="292" customFormat="1" ht="14.25" x14ac:dyDescent="0.2">
      <c r="A39" s="300" t="s">
        <v>175</v>
      </c>
      <c r="B39" s="304"/>
      <c r="C39" s="302"/>
      <c r="D39" s="302"/>
      <c r="E39" s="302"/>
      <c r="F39" s="301"/>
      <c r="G39" s="302"/>
      <c r="H39" s="302"/>
      <c r="I39" s="302"/>
    </row>
    <row r="40" spans="1:9" s="292" customFormat="1" ht="14.25" x14ac:dyDescent="0.2">
      <c r="A40" s="300" t="s">
        <v>176</v>
      </c>
      <c r="B40" s="304"/>
      <c r="C40" s="302"/>
      <c r="D40" s="302"/>
      <c r="E40" s="302"/>
      <c r="F40" s="301"/>
      <c r="G40" s="302"/>
      <c r="H40" s="302"/>
      <c r="I40" s="302"/>
    </row>
    <row r="41" spans="1:9" s="292" customFormat="1" ht="14.25" x14ac:dyDescent="0.2">
      <c r="A41" s="300" t="s">
        <v>177</v>
      </c>
      <c r="B41" s="304"/>
      <c r="C41" s="302"/>
      <c r="D41" s="302"/>
      <c r="E41" s="302"/>
      <c r="F41" s="301"/>
      <c r="G41" s="302"/>
      <c r="H41" s="302"/>
      <c r="I41" s="302"/>
    </row>
    <row r="42" spans="1:9" s="292" customFormat="1" ht="14.25" x14ac:dyDescent="0.2">
      <c r="A42" s="300" t="s">
        <v>178</v>
      </c>
      <c r="B42" s="304"/>
      <c r="C42" s="302"/>
      <c r="D42" s="302"/>
      <c r="E42" s="302"/>
      <c r="F42" s="301"/>
      <c r="G42" s="302"/>
      <c r="H42" s="302"/>
      <c r="I42" s="302"/>
    </row>
    <row r="43" spans="1:9" s="292" customFormat="1" ht="14.25" x14ac:dyDescent="0.2">
      <c r="A43" s="300" t="s">
        <v>179</v>
      </c>
      <c r="B43" s="304"/>
      <c r="C43" s="302"/>
      <c r="D43" s="302"/>
      <c r="E43" s="302"/>
      <c r="F43" s="301"/>
      <c r="G43" s="302"/>
      <c r="H43" s="302"/>
      <c r="I43" s="302"/>
    </row>
    <row r="44" spans="1:9" s="292" customFormat="1" ht="14.25" x14ac:dyDescent="0.2">
      <c r="A44" s="300" t="s">
        <v>180</v>
      </c>
      <c r="B44" s="304"/>
      <c r="C44" s="302"/>
      <c r="D44" s="302"/>
      <c r="E44" s="302"/>
      <c r="F44" s="301"/>
      <c r="G44" s="302"/>
      <c r="H44" s="302"/>
      <c r="I44" s="302"/>
    </row>
    <row r="45" spans="1:9" s="292" customFormat="1" ht="14.25" x14ac:dyDescent="0.2">
      <c r="A45" s="300" t="s">
        <v>181</v>
      </c>
      <c r="B45" s="304"/>
      <c r="C45" s="302"/>
      <c r="D45" s="302"/>
      <c r="E45" s="302"/>
      <c r="F45" s="301"/>
      <c r="G45" s="302"/>
      <c r="H45" s="302"/>
      <c r="I45" s="302"/>
    </row>
    <row r="46" spans="1:9" s="292" customFormat="1" ht="14.25" x14ac:dyDescent="0.2">
      <c r="A46" s="300" t="s">
        <v>182</v>
      </c>
      <c r="B46" s="304"/>
      <c r="C46" s="302"/>
      <c r="D46" s="302"/>
      <c r="E46" s="302"/>
      <c r="F46" s="301"/>
      <c r="G46" s="302"/>
      <c r="H46" s="302"/>
      <c r="I46" s="302"/>
    </row>
    <row r="47" spans="1:9" ht="15" x14ac:dyDescent="0.2">
      <c r="A47" s="305" t="s">
        <v>164</v>
      </c>
      <c r="B47" s="306">
        <f t="shared" ref="B47:I47" si="1">SUM(B36:B46)</f>
        <v>10</v>
      </c>
      <c r="C47" s="306">
        <f t="shared" si="1"/>
        <v>7</v>
      </c>
      <c r="D47" s="306">
        <f t="shared" si="1"/>
        <v>0</v>
      </c>
      <c r="E47" s="306">
        <f t="shared" si="1"/>
        <v>0</v>
      </c>
      <c r="F47" s="306">
        <f t="shared" si="1"/>
        <v>9</v>
      </c>
      <c r="G47" s="306">
        <f t="shared" si="1"/>
        <v>20</v>
      </c>
      <c r="H47" s="306">
        <f t="shared" si="1"/>
        <v>0</v>
      </c>
      <c r="I47" s="306">
        <f t="shared" si="1"/>
        <v>0</v>
      </c>
    </row>
    <row r="48" spans="1:9" x14ac:dyDescent="0.2">
      <c r="C48" s="284"/>
    </row>
    <row r="49" spans="1:3" ht="45" x14ac:dyDescent="0.2">
      <c r="A49" s="289" t="s">
        <v>183</v>
      </c>
      <c r="B49" s="309" t="s">
        <v>143</v>
      </c>
      <c r="C49" s="310" t="s">
        <v>184</v>
      </c>
    </row>
    <row r="50" spans="1:3" ht="14.25" x14ac:dyDescent="0.2">
      <c r="A50" s="311"/>
      <c r="B50" s="104">
        <f>IFERROR(('PROGRAM BUDGET &amp; FISCAL REPORT'!G13/'PARTICIPANTS &amp; DEMOGRAPHICS'!B6),"N/A")</f>
        <v>3912.2554281250004</v>
      </c>
      <c r="C50" s="104">
        <f>IFERROR(('PROGRAM BUDGET &amp; FISCAL REPORT'!N13/'PARTICIPANTS &amp; DEMOGRAPHICS'!D6),"N/A")</f>
        <v>4138.5862068965516</v>
      </c>
    </row>
  </sheetData>
  <sheetProtection algorithmName="SHA-512" hashValue="KdFtB1E4u3+HhLnuemQ5FHqT7y+Mdubd2hXbn5fw9gNaSDW+Ygn/iq0EEfzvzftiyzZm6YxTTtrqBIiSH95IOw==" saltValue="31lJ3DSLBlVVb2Qk0eUDdw=="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C1 -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185</v>
      </c>
      <c r="C2" s="40"/>
      <c r="D2" s="40"/>
      <c r="E2" s="40"/>
      <c r="F2" s="40"/>
      <c r="G2" s="40"/>
    </row>
    <row r="3" spans="1:8" ht="22.5" customHeight="1" x14ac:dyDescent="0.25">
      <c r="A3" s="20"/>
      <c r="B3" s="157" t="str">
        <f>'PROGRAM BUDGET &amp; FISCAL REPORT'!A6</f>
        <v>AGENCY NAME:</v>
      </c>
      <c r="C3" s="105" t="str">
        <f>'PROGRAM BUDGET &amp; FISCAL REPORT'!B6</f>
        <v>Providence Saint John's Health Center - CFDC</v>
      </c>
      <c r="D3" s="106"/>
      <c r="E3" s="106"/>
      <c r="F3" s="106"/>
      <c r="G3" s="40"/>
    </row>
    <row r="4" spans="1:8" ht="22.5" customHeight="1" x14ac:dyDescent="0.25">
      <c r="A4" s="20"/>
      <c r="B4" s="157" t="str">
        <f>'PROGRAM BUDGET &amp; FISCAL REPORT'!A7</f>
        <v>PROGRAM NAME:</v>
      </c>
      <c r="C4" s="107" t="str">
        <f>'PROGRAM BUDGET &amp; FISCAL REPORT'!B7</f>
        <v>Child Development Program</v>
      </c>
      <c r="D4" s="108"/>
      <c r="E4" s="108"/>
      <c r="F4" s="108"/>
      <c r="G4" s="40"/>
    </row>
    <row r="5" spans="1:8" ht="8.25" customHeight="1" thickBot="1" x14ac:dyDescent="0.25">
      <c r="A5" s="20"/>
      <c r="B5" s="158"/>
      <c r="C5" s="40"/>
      <c r="D5" s="40"/>
      <c r="E5" s="40"/>
      <c r="F5" s="40"/>
      <c r="G5" s="40"/>
    </row>
    <row r="6" spans="1:8" ht="52.5" customHeight="1" x14ac:dyDescent="0.55000000000000004">
      <c r="B6" s="42" t="s">
        <v>186</v>
      </c>
      <c r="C6" s="43" t="s">
        <v>187</v>
      </c>
      <c r="D6" s="43"/>
      <c r="E6" s="43" t="s">
        <v>188</v>
      </c>
      <c r="F6" s="44"/>
      <c r="G6" s="40"/>
    </row>
    <row r="7" spans="1:8" ht="14.25" x14ac:dyDescent="0.2">
      <c r="B7" s="45" t="s">
        <v>189</v>
      </c>
      <c r="C7" s="46">
        <f>'PARTICIPANTS &amp; DEMOGRAPHICS'!B6</f>
        <v>32</v>
      </c>
      <c r="D7" s="47"/>
      <c r="E7" s="47">
        <f>'PARTICIPANTS &amp; DEMOGRAPHICS'!D6</f>
        <v>29</v>
      </c>
      <c r="F7" s="48"/>
      <c r="G7" s="40"/>
    </row>
    <row r="8" spans="1:8" ht="14.25" x14ac:dyDescent="0.2">
      <c r="B8" s="49" t="s">
        <v>190</v>
      </c>
      <c r="C8" s="46">
        <f>'PARTICIPANTS &amp; DEMOGRAPHICS'!B7</f>
        <v>32</v>
      </c>
      <c r="D8" s="47"/>
      <c r="E8" s="47">
        <f>'PARTICIPANTS &amp; DEMOGRAPHICS'!D7</f>
        <v>29</v>
      </c>
      <c r="F8" s="48"/>
      <c r="G8" s="40"/>
    </row>
    <row r="9" spans="1:8" ht="14.25" x14ac:dyDescent="0.2">
      <c r="B9" s="45" t="s">
        <v>191</v>
      </c>
      <c r="C9" s="70">
        <f>IFERROR(C8/C7, "N/A")</f>
        <v>1</v>
      </c>
      <c r="D9" s="51"/>
      <c r="E9" s="114">
        <f>IFERROR(E8/E7, "N/A")</f>
        <v>1</v>
      </c>
      <c r="F9" s="48"/>
      <c r="G9" s="40"/>
    </row>
    <row r="10" spans="1:8" ht="14.25" x14ac:dyDescent="0.2">
      <c r="B10" s="45"/>
      <c r="C10" s="50"/>
      <c r="D10" s="51"/>
      <c r="E10" s="46"/>
      <c r="F10" s="48"/>
      <c r="G10" s="40"/>
    </row>
    <row r="11" spans="1:8" ht="63.75" customHeight="1" x14ac:dyDescent="0.55000000000000004">
      <c r="B11" s="52" t="s">
        <v>192</v>
      </c>
      <c r="C11" s="154" t="s">
        <v>193</v>
      </c>
      <c r="D11" s="154" t="s">
        <v>194</v>
      </c>
      <c r="E11" s="154" t="s">
        <v>195</v>
      </c>
      <c r="F11" s="155" t="s">
        <v>196</v>
      </c>
      <c r="G11" s="40"/>
    </row>
    <row r="12" spans="1:8" ht="16.5" customHeight="1" x14ac:dyDescent="0.2">
      <c r="B12" s="45" t="s">
        <v>197</v>
      </c>
      <c r="C12" s="109">
        <f>'PROGRAM BUDGET &amp; FISCAL REPORT'!G13</f>
        <v>125192.17370000001</v>
      </c>
      <c r="D12" s="109">
        <f>'PROGRAM BUDGET &amp; FISCAL REPORT'!H13</f>
        <v>59106</v>
      </c>
      <c r="E12" s="109">
        <f>'PROGRAM BUDGET &amp; FISCAL REPORT'!N13</f>
        <v>120019</v>
      </c>
      <c r="F12" s="110">
        <f>'PROGRAM BUDGET &amp; FISCAL REPORT'!L13</f>
        <v>63628</v>
      </c>
      <c r="G12" s="40"/>
    </row>
    <row r="13" spans="1:8" ht="16.5" customHeight="1" x14ac:dyDescent="0.2">
      <c r="B13" s="45"/>
      <c r="C13" s="53"/>
      <c r="D13" s="53"/>
      <c r="E13" s="53"/>
      <c r="F13" s="54"/>
      <c r="G13" s="40"/>
    </row>
    <row r="14" spans="1:8" ht="19.5" x14ac:dyDescent="0.55000000000000004">
      <c r="B14" s="52" t="s">
        <v>198</v>
      </c>
      <c r="C14" s="322" t="s">
        <v>199</v>
      </c>
      <c r="D14" s="322"/>
      <c r="E14" s="322" t="s">
        <v>200</v>
      </c>
      <c r="F14" s="323"/>
      <c r="G14" s="40"/>
    </row>
    <row r="15" spans="1:8" ht="14.25" x14ac:dyDescent="0.2">
      <c r="B15" s="45" t="s">
        <v>201</v>
      </c>
      <c r="C15" s="111">
        <f>IFERROR(C12*C9,"N/A")</f>
        <v>125192.17370000001</v>
      </c>
      <c r="D15" s="55">
        <f>IFERROR(C15/C12,"N/A")</f>
        <v>1</v>
      </c>
      <c r="E15" s="112">
        <f>IFERROR(E12*E9,"N/A")</f>
        <v>120019</v>
      </c>
      <c r="F15" s="57">
        <f>IFERROR(E15/E12,"N/A")</f>
        <v>1</v>
      </c>
      <c r="G15" s="40"/>
    </row>
    <row r="16" spans="1:8" ht="14.25" x14ac:dyDescent="0.2">
      <c r="B16" s="45" t="s">
        <v>202</v>
      </c>
      <c r="C16" s="111">
        <f>D12</f>
        <v>59106</v>
      </c>
      <c r="D16" s="55">
        <f>IFERROR(C16/C15, "N/A")</f>
        <v>0.47212216429468379</v>
      </c>
      <c r="E16" s="112">
        <f>F12</f>
        <v>63628</v>
      </c>
      <c r="F16" s="57">
        <f>IFERROR(E16/E15, "N/A")</f>
        <v>0.53014939301277297</v>
      </c>
      <c r="G16" s="40"/>
      <c r="H16" s="41"/>
    </row>
    <row r="17" spans="2:7" ht="15" thickBot="1" x14ac:dyDescent="0.25">
      <c r="B17" s="45"/>
      <c r="C17" s="30"/>
      <c r="D17" s="55"/>
      <c r="E17" s="56"/>
      <c r="F17" s="57"/>
      <c r="G17" s="40"/>
    </row>
    <row r="18" spans="2:7" ht="15.75" thickBot="1" x14ac:dyDescent="0.3">
      <c r="B18" s="58" t="s">
        <v>203</v>
      </c>
      <c r="C18" s="113">
        <f>IFERROR(C15-C16,"N/A")</f>
        <v>66086.173700000014</v>
      </c>
      <c r="D18" s="59">
        <f>IFERROR(C18/C15, "N/A")</f>
        <v>0.52787783570531621</v>
      </c>
      <c r="E18" s="113">
        <f>IFERROR(E15-E16, "N/A")</f>
        <v>56391</v>
      </c>
      <c r="F18" s="60">
        <f>IFERROR(E18/E15, "N/A")</f>
        <v>0.46985060698722703</v>
      </c>
      <c r="G18" s="40"/>
    </row>
    <row r="19" spans="2:7" ht="30.75" thickBot="1" x14ac:dyDescent="0.3">
      <c r="B19" s="45"/>
      <c r="C19" s="61"/>
      <c r="D19" s="62" t="s">
        <v>204</v>
      </c>
      <c r="E19" s="47"/>
      <c r="F19" s="62" t="s">
        <v>204</v>
      </c>
    </row>
    <row r="20" spans="2:7" s="1" customFormat="1" ht="12.75" x14ac:dyDescent="0.2">
      <c r="B20" s="40"/>
      <c r="C20" s="36"/>
      <c r="D20" s="36"/>
      <c r="E20" s="36"/>
      <c r="F20" s="36"/>
      <c r="G20" s="36"/>
    </row>
  </sheetData>
  <sheetProtection algorithmName="SHA-512" hashValue="xVfRKkR/3rDZ8qJbvkc1fMPh6ZWjn6IQMFd3dkzMxM8Vl6spZqZd+VRLeXrQE0A8gKzaWn8jzFGlasJkcgh95w==" saltValue="1cFJ/SL/i9736WNMz68NzA=="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7"/>
  <sheetViews>
    <sheetView zoomScaleNormal="100" workbookViewId="0">
      <selection activeCell="E1" sqref="E1"/>
    </sheetView>
  </sheetViews>
  <sheetFormatPr defaultColWidth="8.85546875"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7" customFormat="1" ht="18" x14ac:dyDescent="0.2">
      <c r="A1" s="38" t="s">
        <v>36</v>
      </c>
      <c r="B1" s="71"/>
      <c r="C1" s="39"/>
      <c r="D1" s="39"/>
      <c r="E1" s="39"/>
      <c r="F1" s="21"/>
      <c r="G1" s="21"/>
    </row>
    <row r="2" spans="1:7" ht="18" x14ac:dyDescent="0.25">
      <c r="A2" s="327" t="s">
        <v>205</v>
      </c>
      <c r="B2" s="328"/>
      <c r="C2" s="328"/>
      <c r="D2" s="328"/>
      <c r="E2" s="328"/>
      <c r="F2" s="156"/>
      <c r="G2" s="156"/>
    </row>
    <row r="3" spans="1:7" ht="15.75" x14ac:dyDescent="0.2">
      <c r="A3" s="115"/>
      <c r="B3" s="156"/>
      <c r="C3" s="156"/>
      <c r="D3" s="156"/>
      <c r="E3" s="156"/>
      <c r="F3" s="156"/>
      <c r="G3" s="156"/>
    </row>
    <row r="4" spans="1:7" ht="79.5" customHeight="1" x14ac:dyDescent="0.2">
      <c r="A4" s="329" t="s">
        <v>206</v>
      </c>
      <c r="B4" s="330"/>
      <c r="C4" s="330"/>
      <c r="D4" s="330"/>
      <c r="E4" s="330"/>
      <c r="F4" s="156"/>
      <c r="G4" s="156"/>
    </row>
    <row r="5" spans="1:7" ht="15" x14ac:dyDescent="0.2">
      <c r="A5" s="116"/>
      <c r="B5" s="117"/>
      <c r="C5" s="117"/>
      <c r="D5" s="117"/>
      <c r="E5" s="117"/>
      <c r="F5" s="156"/>
      <c r="G5" s="156"/>
    </row>
    <row r="6" spans="1:7" ht="45" x14ac:dyDescent="0.25">
      <c r="A6" s="331" t="s">
        <v>207</v>
      </c>
      <c r="B6" s="332"/>
      <c r="C6" s="159" t="s">
        <v>208</v>
      </c>
      <c r="D6" s="159" t="s">
        <v>209</v>
      </c>
      <c r="E6" s="118" t="s">
        <v>210</v>
      </c>
      <c r="F6" s="156"/>
      <c r="G6" s="156"/>
    </row>
    <row r="7" spans="1:7" ht="15" x14ac:dyDescent="0.25">
      <c r="A7" s="119" t="s">
        <v>211</v>
      </c>
      <c r="B7" s="120"/>
      <c r="C7" s="119"/>
      <c r="D7" s="119"/>
      <c r="E7" s="119"/>
      <c r="F7" s="156"/>
      <c r="G7" s="156"/>
    </row>
    <row r="8" spans="1:7" ht="15" x14ac:dyDescent="0.25">
      <c r="A8" s="121" t="s">
        <v>60</v>
      </c>
      <c r="B8" s="121" t="s">
        <v>212</v>
      </c>
      <c r="C8" s="122">
        <v>10000</v>
      </c>
      <c r="D8" s="122">
        <v>15000</v>
      </c>
      <c r="E8" s="119"/>
      <c r="F8" s="156"/>
      <c r="G8" s="156"/>
    </row>
    <row r="9" spans="1:7" ht="15" x14ac:dyDescent="0.25">
      <c r="A9" s="123"/>
      <c r="B9" s="124"/>
      <c r="C9" s="124"/>
      <c r="D9" s="156"/>
      <c r="E9" s="125"/>
      <c r="F9" s="156"/>
      <c r="G9" s="156"/>
    </row>
    <row r="10" spans="1:7" ht="15" x14ac:dyDescent="0.25">
      <c r="A10" s="326" t="s">
        <v>130</v>
      </c>
      <c r="B10" s="325"/>
      <c r="C10" s="325"/>
      <c r="D10" s="325"/>
      <c r="E10" s="325"/>
      <c r="F10" s="156"/>
      <c r="G10" s="156"/>
    </row>
    <row r="11" spans="1:7" ht="14.25" x14ac:dyDescent="0.2">
      <c r="A11" s="126" t="s">
        <v>213</v>
      </c>
      <c r="B11" s="126" t="s">
        <v>214</v>
      </c>
      <c r="C11" s="135">
        <f>3467207*0.86</f>
        <v>2981798.02</v>
      </c>
      <c r="D11" s="135">
        <f>3467207*0.92</f>
        <v>3189830.44</v>
      </c>
      <c r="E11" s="127"/>
      <c r="F11" s="156"/>
      <c r="G11" s="156"/>
    </row>
    <row r="12" spans="1:7" ht="14.25" x14ac:dyDescent="0.2">
      <c r="A12" s="126" t="s">
        <v>215</v>
      </c>
      <c r="B12" s="126" t="s">
        <v>216</v>
      </c>
      <c r="C12" s="135">
        <v>400000</v>
      </c>
      <c r="D12" s="135">
        <v>400000</v>
      </c>
      <c r="E12" s="127"/>
      <c r="F12" s="156"/>
      <c r="G12" s="156"/>
    </row>
    <row r="13" spans="1:7" ht="14.25" x14ac:dyDescent="0.2">
      <c r="A13" s="126" t="s">
        <v>217</v>
      </c>
      <c r="B13" s="126" t="s">
        <v>218</v>
      </c>
      <c r="C13" s="135">
        <v>344914</v>
      </c>
      <c r="D13" s="135">
        <f>289931+63628</f>
        <v>353559</v>
      </c>
      <c r="E13" s="128"/>
      <c r="F13" s="156"/>
      <c r="G13" s="156"/>
    </row>
    <row r="14" spans="1:7" ht="14.25" x14ac:dyDescent="0.2">
      <c r="A14" s="129"/>
      <c r="B14" s="129"/>
      <c r="C14" s="129"/>
      <c r="D14" s="130"/>
      <c r="E14" s="131"/>
      <c r="F14" s="156"/>
      <c r="G14" s="156"/>
    </row>
    <row r="15" spans="1:7" ht="15" x14ac:dyDescent="0.25">
      <c r="A15" s="326" t="s">
        <v>131</v>
      </c>
      <c r="B15" s="325"/>
      <c r="C15" s="325"/>
      <c r="D15" s="325"/>
      <c r="E15" s="325"/>
      <c r="F15" s="156"/>
      <c r="G15" s="156"/>
    </row>
    <row r="16" spans="1:7" ht="28.5" x14ac:dyDescent="0.2">
      <c r="A16" s="156"/>
      <c r="B16" s="126" t="s">
        <v>219</v>
      </c>
      <c r="C16" s="135">
        <v>290000</v>
      </c>
      <c r="D16" s="135">
        <v>225000</v>
      </c>
      <c r="E16" s="152" t="s">
        <v>220</v>
      </c>
      <c r="F16" s="156"/>
      <c r="G16" s="156"/>
    </row>
    <row r="17" spans="1:5" ht="14.25" x14ac:dyDescent="0.2">
      <c r="A17" s="156"/>
      <c r="B17" s="126" t="s">
        <v>221</v>
      </c>
      <c r="C17" s="135">
        <v>192800</v>
      </c>
      <c r="D17" s="135">
        <v>0</v>
      </c>
      <c r="E17" s="128" t="s">
        <v>222</v>
      </c>
    </row>
    <row r="18" spans="1:5" ht="14.25" x14ac:dyDescent="0.2">
      <c r="A18" s="129"/>
      <c r="B18" s="129"/>
      <c r="C18" s="129"/>
      <c r="D18" s="130"/>
      <c r="E18" s="131"/>
    </row>
    <row r="19" spans="1:5" ht="15" x14ac:dyDescent="0.25">
      <c r="A19" s="326" t="s">
        <v>132</v>
      </c>
      <c r="B19" s="325"/>
      <c r="C19" s="325"/>
      <c r="D19" s="325"/>
      <c r="E19" s="325"/>
    </row>
    <row r="20" spans="1:5" ht="14.25" x14ac:dyDescent="0.2">
      <c r="A20" s="156"/>
      <c r="B20" s="126" t="s">
        <v>123</v>
      </c>
      <c r="C20" s="135">
        <v>0</v>
      </c>
      <c r="D20" s="135">
        <v>0</v>
      </c>
      <c r="E20" s="127"/>
    </row>
    <row r="21" spans="1:5" ht="14.25" x14ac:dyDescent="0.2">
      <c r="A21" s="156"/>
      <c r="B21" s="126" t="s">
        <v>123</v>
      </c>
      <c r="C21" s="135">
        <v>0</v>
      </c>
      <c r="D21" s="135">
        <v>0</v>
      </c>
      <c r="E21" s="128"/>
    </row>
    <row r="22" spans="1:5" ht="14.25" x14ac:dyDescent="0.2">
      <c r="A22" s="129"/>
      <c r="B22" s="129"/>
      <c r="C22" s="129"/>
      <c r="D22" s="130"/>
      <c r="E22" s="131"/>
    </row>
    <row r="23" spans="1:5" ht="15" x14ac:dyDescent="0.25">
      <c r="A23" s="326" t="s">
        <v>133</v>
      </c>
      <c r="B23" s="325"/>
      <c r="C23" s="325"/>
      <c r="D23" s="325"/>
      <c r="E23" s="325"/>
    </row>
    <row r="24" spans="1:5" ht="14.25" x14ac:dyDescent="0.2">
      <c r="A24" s="156"/>
      <c r="B24" s="126" t="s">
        <v>123</v>
      </c>
      <c r="C24" s="135">
        <v>0</v>
      </c>
      <c r="D24" s="135">
        <v>0</v>
      </c>
      <c r="E24" s="127"/>
    </row>
    <row r="25" spans="1:5" ht="14.25" x14ac:dyDescent="0.2">
      <c r="A25" s="156"/>
      <c r="B25" s="126" t="s">
        <v>123</v>
      </c>
      <c r="C25" s="135">
        <v>0</v>
      </c>
      <c r="D25" s="135">
        <v>0</v>
      </c>
      <c r="E25" s="128"/>
    </row>
    <row r="26" spans="1:5" ht="14.25" x14ac:dyDescent="0.2">
      <c r="A26" s="129"/>
      <c r="B26" s="129"/>
      <c r="C26" s="129"/>
      <c r="D26" s="130"/>
      <c r="E26" s="131"/>
    </row>
    <row r="27" spans="1:5" ht="15" x14ac:dyDescent="0.25">
      <c r="A27" s="326" t="s">
        <v>134</v>
      </c>
      <c r="B27" s="325"/>
      <c r="C27" s="325"/>
      <c r="D27" s="325"/>
      <c r="E27" s="325"/>
    </row>
    <row r="28" spans="1:5" ht="14.25" x14ac:dyDescent="0.2">
      <c r="A28" s="156"/>
      <c r="B28" s="126" t="s">
        <v>223</v>
      </c>
      <c r="C28" s="135">
        <v>145000</v>
      </c>
      <c r="D28" s="135">
        <v>175000</v>
      </c>
      <c r="E28" s="127"/>
    </row>
    <row r="29" spans="1:5" ht="28.5" x14ac:dyDescent="0.2">
      <c r="A29" s="156"/>
      <c r="B29" s="126" t="s">
        <v>224</v>
      </c>
      <c r="C29" s="135">
        <v>292623</v>
      </c>
      <c r="D29" s="135">
        <v>326825</v>
      </c>
      <c r="E29" s="153" t="s">
        <v>225</v>
      </c>
    </row>
    <row r="30" spans="1:5" ht="14.25" x14ac:dyDescent="0.2">
      <c r="A30" s="129"/>
      <c r="B30" s="129"/>
      <c r="C30" s="129"/>
      <c r="D30" s="130"/>
      <c r="E30" s="131"/>
    </row>
    <row r="31" spans="1:5" ht="15" x14ac:dyDescent="0.25">
      <c r="A31" s="326" t="s">
        <v>135</v>
      </c>
      <c r="B31" s="325"/>
      <c r="C31" s="325"/>
      <c r="D31" s="325"/>
      <c r="E31" s="325"/>
    </row>
    <row r="32" spans="1:5" ht="14.25" x14ac:dyDescent="0.2">
      <c r="A32" s="156"/>
      <c r="B32" s="126" t="s">
        <v>226</v>
      </c>
      <c r="C32" s="135">
        <v>498000</v>
      </c>
      <c r="D32" s="135">
        <v>480000</v>
      </c>
      <c r="E32" s="127"/>
    </row>
    <row r="33" spans="1:5" ht="14.25" x14ac:dyDescent="0.2">
      <c r="A33" s="156"/>
      <c r="B33" s="126" t="s">
        <v>123</v>
      </c>
      <c r="C33" s="135">
        <v>0</v>
      </c>
      <c r="D33" s="135">
        <v>0</v>
      </c>
      <c r="E33" s="128"/>
    </row>
    <row r="34" spans="1:5" x14ac:dyDescent="0.2">
      <c r="A34" s="132"/>
      <c r="B34" s="132"/>
      <c r="C34" s="132"/>
      <c r="D34" s="132"/>
      <c r="E34" s="133"/>
    </row>
    <row r="35" spans="1:5" ht="15" x14ac:dyDescent="0.25">
      <c r="A35" s="326" t="s">
        <v>137</v>
      </c>
      <c r="B35" s="326"/>
      <c r="C35" s="141">
        <f>SUM(C10:C34)</f>
        <v>5145135.0199999996</v>
      </c>
      <c r="D35" s="141">
        <f>SUM(D10:D34)</f>
        <v>5150214.4399999995</v>
      </c>
      <c r="E35" s="142"/>
    </row>
    <row r="36" spans="1:5" x14ac:dyDescent="0.2">
      <c r="A36" s="134"/>
      <c r="B36" s="134"/>
      <c r="C36" s="134"/>
      <c r="D36" s="134"/>
      <c r="E36" s="134"/>
    </row>
    <row r="37" spans="1:5" x14ac:dyDescent="0.2">
      <c r="A37" s="324"/>
      <c r="B37" s="325"/>
      <c r="C37" s="325"/>
      <c r="D37" s="325"/>
      <c r="E37" s="325"/>
    </row>
  </sheetData>
  <sheetProtection algorithmName="SHA-512" hashValue="yp31nAeamAngiAzc3dbVMmU4rrPTfVIxDE8NAmcR9knT1ZMSkb1I8P8HlYuXzLtiv+J3FUK3CaALvWjEQlnHvA==" saltValue="CJg7TjaNelaiA+n9DO7dtQ==" spinCount="100000" sheet="1" objects="1" scenarios="1"/>
  <mergeCells count="11">
    <mergeCell ref="A2:E2"/>
    <mergeCell ref="A4:E4"/>
    <mergeCell ref="A6:B6"/>
    <mergeCell ref="A10:E10"/>
    <mergeCell ref="A19:E19"/>
    <mergeCell ref="A37:E37"/>
    <mergeCell ref="A31:E31"/>
    <mergeCell ref="A35:B35"/>
    <mergeCell ref="A15:E15"/>
    <mergeCell ref="A27:E27"/>
    <mergeCell ref="A23:E23"/>
  </mergeCells>
  <pageMargins left="0.7" right="0.7" top="0.75" bottom="0.75" header="0.3" footer="0.3"/>
  <pageSetup scale="79" firstPageNumber="8" orientation="portrait" r:id="rId1"/>
  <headerFooter>
    <oddFooter>&amp;LCity of Santa Monica
Exhibit C1 -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ColWidth="8.85546875" defaultRowHeight="12.75" x14ac:dyDescent="0.2"/>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B226A184-CC38-482B-84F3-FD57DDB59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2023-11-28T00:34:09Z</cp:lastPrinted>
  <dcterms:created xsi:type="dcterms:W3CDTF">1999-10-15T17:33:56Z</dcterms:created>
  <dcterms:modified xsi:type="dcterms:W3CDTF">2023-11-28T00:34:20Z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