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729" documentId="8_{10FC0C6E-EEC8-4A02-A7F8-428175764218}" xr6:coauthVersionLast="46" xr6:coauthVersionMax="47" xr10:uidLastSave="{A1CB1279-FD6C-4D90-97B1-29EE125A694A}"/>
  <workbookProtection workbookAlgorithmName="SHA-512" workbookHashValue="KFgZOKjCxQX641WXuGcD8cXT/es8AT9yqYknk1xVGvvrbNxHJNO0vqDnKKF27dPR3DPnvm22Gf3a3nZRcyoUzA==" workbookSaltValue="B3P+APk/e2p86+5Jauim1w==" workbookSpinCount="100000" lockStructure="1"/>
  <bookViews>
    <workbookView xWindow="-120" yWindow="-120" windowWidth="29040" windowHeight="15840" tabRatio="892" xr2:uid="{00000000-000D-0000-FFFF-FFFF00000000}"/>
  </bookViews>
  <sheets>
    <sheet name="INSTRUCTIONS" sheetId="32" r:id="rId1"/>
    <sheet name="PROGRAM BUDGET &amp; FISCAL REPORT" sheetId="19" r:id="rId2"/>
    <sheet name="PARTICIPANTS &amp; DEMOGRAPHICS" sheetId="26" r:id="rId3"/>
    <sheet name="CASH MATCH" sheetId="14" r:id="rId4"/>
    <sheet name="ESRI_MAPINFO_SHEET" sheetId="31" state="veryHidden" r:id="rId5"/>
    <sheet name="AGENCY FUNDING SOURCES" sheetId="30" r:id="rId6"/>
  </sheets>
  <definedNames>
    <definedName name="_xlnm.Print_Area" localSheetId="5">'AGENCY FUNDING SOURCES'!$A$1:$E$36</definedName>
    <definedName name="_xlnm.Print_Area" localSheetId="2">'PARTICIPANTS &amp; DEMOGRAPHICS'!$A$1:$F$50</definedName>
    <definedName name="_xlnm.Print_Area" localSheetId="1">'PROGRAM BUDGET &amp; FISCAL REPORT'!$A$1:$N$149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3" i="19" l="1"/>
  <c r="N56" i="19" s="1"/>
  <c r="K53" i="19"/>
  <c r="J53" i="19"/>
  <c r="H53" i="19"/>
  <c r="H56" i="19" s="1"/>
  <c r="G53" i="19"/>
  <c r="N50" i="19"/>
  <c r="J50" i="19"/>
  <c r="J56" i="19" s="1"/>
  <c r="H50" i="19"/>
  <c r="G50" i="19"/>
  <c r="N29" i="19"/>
  <c r="K29" i="19"/>
  <c r="J29" i="19"/>
  <c r="H29" i="19"/>
  <c r="G29" i="19"/>
  <c r="G56" i="19" s="1"/>
  <c r="D53" i="19"/>
  <c r="D56" i="19" s="1"/>
  <c r="D50" i="19"/>
  <c r="D29" i="19"/>
  <c r="N117" i="19" l="1"/>
  <c r="K129" i="19"/>
  <c r="K42" i="19"/>
  <c r="K50" i="19" s="1"/>
  <c r="K56" i="19" s="1"/>
  <c r="K99" i="19"/>
  <c r="K82" i="19"/>
  <c r="K88" i="19"/>
  <c r="K84" i="19"/>
  <c r="N65" i="19"/>
  <c r="N64" i="19"/>
  <c r="N63" i="19"/>
  <c r="N62" i="19"/>
  <c r="N61" i="19"/>
  <c r="K87" i="19"/>
  <c r="K117" i="19"/>
  <c r="L36" i="19" l="1"/>
  <c r="M36" i="19" s="1"/>
  <c r="I28" i="19"/>
  <c r="L28" i="19"/>
  <c r="M28" i="19" s="1"/>
  <c r="L44" i="19"/>
  <c r="M44" i="19" s="1"/>
  <c r="L55" i="19"/>
  <c r="M55" i="19" s="1"/>
  <c r="I55" i="19"/>
  <c r="N55" i="19" s="1"/>
  <c r="L54" i="19"/>
  <c r="M54" i="19" s="1"/>
  <c r="I54" i="19"/>
  <c r="L33" i="19" l="1"/>
  <c r="L34" i="19"/>
  <c r="L35" i="19"/>
  <c r="L37" i="19"/>
  <c r="L38" i="19"/>
  <c r="L39" i="19"/>
  <c r="L40" i="19"/>
  <c r="L41" i="19"/>
  <c r="L51" i="19"/>
  <c r="L42" i="19"/>
  <c r="L43" i="19"/>
  <c r="I41" i="19"/>
  <c r="I33" i="19"/>
  <c r="I39" i="19"/>
  <c r="I34" i="19"/>
  <c r="I35" i="19"/>
  <c r="I37" i="19"/>
  <c r="I38" i="19"/>
  <c r="I40" i="19"/>
  <c r="D12" i="30"/>
  <c r="D19" i="30"/>
  <c r="L48" i="19"/>
  <c r="M48" i="19" s="1"/>
  <c r="I48" i="19"/>
  <c r="M40" i="19" l="1"/>
  <c r="M34" i="19"/>
  <c r="M41" i="19"/>
  <c r="M35" i="19"/>
  <c r="M37" i="19"/>
  <c r="M51" i="19"/>
  <c r="M38" i="19"/>
  <c r="M33" i="19"/>
  <c r="M39" i="19"/>
  <c r="K146" i="19" l="1"/>
  <c r="J146" i="19"/>
  <c r="E8" i="14" l="1"/>
  <c r="E7" i="14"/>
  <c r="C8" i="14"/>
  <c r="C7" i="14"/>
  <c r="C4" i="14" l="1"/>
  <c r="C3" i="14"/>
  <c r="N102" i="19"/>
  <c r="M43" i="19" l="1"/>
  <c r="I43" i="19"/>
  <c r="C34" i="30" l="1"/>
  <c r="D34" i="30"/>
  <c r="D13" i="19" l="1"/>
  <c r="D12" i="19"/>
  <c r="D11" i="19"/>
  <c r="D10" i="19"/>
  <c r="D9" i="19"/>
  <c r="L145" i="19" l="1"/>
  <c r="L144" i="19"/>
  <c r="L142" i="19"/>
  <c r="L141" i="19"/>
  <c r="L139" i="19"/>
  <c r="L138" i="19"/>
  <c r="L136" i="19"/>
  <c r="L135" i="19"/>
  <c r="L133" i="19"/>
  <c r="L132" i="19"/>
  <c r="L130" i="19"/>
  <c r="L129" i="19"/>
  <c r="L146" i="19" s="1"/>
  <c r="D8" i="19"/>
  <c r="D7" i="19"/>
  <c r="D6" i="19"/>
  <c r="K119" i="19" l="1"/>
  <c r="J119" i="19"/>
  <c r="F118" i="19"/>
  <c r="H119" i="19"/>
  <c r="L118" i="19"/>
  <c r="M118" i="19" s="1"/>
  <c r="I118" i="19"/>
  <c r="I109" i="19"/>
  <c r="I108" i="19"/>
  <c r="I107" i="19"/>
  <c r="I101" i="19"/>
  <c r="I100" i="19"/>
  <c r="I99" i="19"/>
  <c r="I93" i="19"/>
  <c r="I92" i="19"/>
  <c r="I91" i="19"/>
  <c r="I90" i="19"/>
  <c r="I89" i="19"/>
  <c r="I88" i="19"/>
  <c r="I87" i="19"/>
  <c r="I86" i="19"/>
  <c r="I85" i="19"/>
  <c r="I84" i="19"/>
  <c r="I83" i="19"/>
  <c r="I82" i="19"/>
  <c r="I81" i="19"/>
  <c r="L109" i="19"/>
  <c r="M109" i="19" s="1"/>
  <c r="L108" i="19"/>
  <c r="M108" i="19" s="1"/>
  <c r="L101" i="19"/>
  <c r="M101" i="19" s="1"/>
  <c r="L100" i="19"/>
  <c r="M100" i="19" s="1"/>
  <c r="L93" i="19"/>
  <c r="M93" i="19" s="1"/>
  <c r="L92" i="19"/>
  <c r="M92" i="19" s="1"/>
  <c r="L91" i="19"/>
  <c r="M91" i="19" s="1"/>
  <c r="L90" i="19"/>
  <c r="M90" i="19" s="1"/>
  <c r="L89" i="19"/>
  <c r="M89" i="19" s="1"/>
  <c r="L88" i="19"/>
  <c r="M88" i="19" s="1"/>
  <c r="L87" i="19"/>
  <c r="M87" i="19" s="1"/>
  <c r="L86" i="19"/>
  <c r="M86" i="19" s="1"/>
  <c r="L85" i="19"/>
  <c r="M85" i="19" s="1"/>
  <c r="L84" i="19"/>
  <c r="M84" i="19" s="1"/>
  <c r="L83" i="19"/>
  <c r="M83" i="19" s="1"/>
  <c r="I74" i="19"/>
  <c r="L74" i="19"/>
  <c r="M74" i="19" s="1"/>
  <c r="I75" i="19"/>
  <c r="L75" i="19"/>
  <c r="M75" i="19" s="1"/>
  <c r="L62" i="19"/>
  <c r="L63" i="19"/>
  <c r="I64" i="19"/>
  <c r="L64" i="19"/>
  <c r="M64" i="19" s="1"/>
  <c r="L65" i="19"/>
  <c r="I66" i="19"/>
  <c r="L66" i="19"/>
  <c r="M66" i="19" s="1"/>
  <c r="I67" i="19"/>
  <c r="L67" i="19"/>
  <c r="M67" i="19" s="1"/>
  <c r="I30" i="19"/>
  <c r="I49" i="19"/>
  <c r="I47" i="19"/>
  <c r="I46" i="19"/>
  <c r="I45" i="19"/>
  <c r="I27" i="19"/>
  <c r="I29" i="19" s="1"/>
  <c r="I52" i="19"/>
  <c r="I42" i="19"/>
  <c r="I51" i="19"/>
  <c r="I32" i="19"/>
  <c r="I31" i="19"/>
  <c r="G94" i="19"/>
  <c r="G9" i="19" s="1"/>
  <c r="L49" i="19"/>
  <c r="M49" i="19" s="1"/>
  <c r="L47" i="19"/>
  <c r="M47" i="19" s="1"/>
  <c r="L46" i="19"/>
  <c r="M46" i="19" s="1"/>
  <c r="L45" i="19"/>
  <c r="M45" i="19" s="1"/>
  <c r="L27" i="19"/>
  <c r="L52" i="19"/>
  <c r="M42" i="19"/>
  <c r="N6" i="19"/>
  <c r="N68" i="19"/>
  <c r="N7" i="19" s="1"/>
  <c r="N76" i="19"/>
  <c r="N8" i="19" s="1"/>
  <c r="N94" i="19"/>
  <c r="N9" i="19" s="1"/>
  <c r="J102" i="19"/>
  <c r="J10" i="19" s="1"/>
  <c r="K102" i="19"/>
  <c r="K10" i="19" s="1"/>
  <c r="N110" i="19"/>
  <c r="N11" i="19" s="1"/>
  <c r="L30" i="19"/>
  <c r="L31" i="19"/>
  <c r="M31" i="19" s="1"/>
  <c r="L32" i="19"/>
  <c r="M32" i="19" s="1"/>
  <c r="L61" i="19"/>
  <c r="J6" i="19"/>
  <c r="B4" i="14"/>
  <c r="B3" i="14"/>
  <c r="G76" i="19"/>
  <c r="G8" i="19" s="1"/>
  <c r="G102" i="19"/>
  <c r="G10" i="19" s="1"/>
  <c r="G110" i="19"/>
  <c r="G11" i="19" s="1"/>
  <c r="H76" i="19"/>
  <c r="H8" i="19" s="1"/>
  <c r="H94" i="19"/>
  <c r="H9" i="19" s="1"/>
  <c r="H102" i="19"/>
  <c r="H10" i="19" s="1"/>
  <c r="H110" i="19"/>
  <c r="H11" i="19" s="1"/>
  <c r="L73" i="19"/>
  <c r="M73" i="19" s="1"/>
  <c r="I73" i="19"/>
  <c r="L82" i="19"/>
  <c r="M82" i="19" s="1"/>
  <c r="L117" i="19"/>
  <c r="K110" i="19"/>
  <c r="K11" i="19" s="1"/>
  <c r="J110" i="19"/>
  <c r="J11" i="19" s="1"/>
  <c r="L107" i="19"/>
  <c r="M107" i="19" s="1"/>
  <c r="L99" i="19"/>
  <c r="M99" i="19" s="1"/>
  <c r="L81" i="19"/>
  <c r="M81" i="19" s="1"/>
  <c r="K94" i="19"/>
  <c r="K9" i="19" s="1"/>
  <c r="J94" i="19"/>
  <c r="J9" i="19" s="1"/>
  <c r="K76" i="19"/>
  <c r="K8" i="19" s="1"/>
  <c r="J76" i="19"/>
  <c r="J8" i="19" s="1"/>
  <c r="K68" i="19"/>
  <c r="K7" i="19" s="1"/>
  <c r="J68" i="19"/>
  <c r="J7" i="19" s="1"/>
  <c r="K6" i="19"/>
  <c r="I53" i="19" l="1"/>
  <c r="I50" i="19"/>
  <c r="M27" i="19"/>
  <c r="L29" i="19"/>
  <c r="M29" i="19" s="1"/>
  <c r="M30" i="19"/>
  <c r="L50" i="19"/>
  <c r="M52" i="19"/>
  <c r="L53" i="19"/>
  <c r="M117" i="19"/>
  <c r="M63" i="19"/>
  <c r="M62" i="19"/>
  <c r="M65" i="19"/>
  <c r="H6" i="19"/>
  <c r="G6" i="19"/>
  <c r="H12" i="19"/>
  <c r="J12" i="19"/>
  <c r="J121" i="19"/>
  <c r="J13" i="19" s="1"/>
  <c r="K12" i="19"/>
  <c r="K121" i="19"/>
  <c r="K13" i="19" s="1"/>
  <c r="E9" i="14"/>
  <c r="C9" i="14"/>
  <c r="I94" i="19"/>
  <c r="I9" i="19" s="1"/>
  <c r="I102" i="19"/>
  <c r="I10" i="19" s="1"/>
  <c r="N10" i="19"/>
  <c r="I76" i="19"/>
  <c r="I8" i="19" s="1"/>
  <c r="L68" i="19"/>
  <c r="I110" i="19"/>
  <c r="L94" i="19"/>
  <c r="L119" i="19"/>
  <c r="L12" i="19" s="1"/>
  <c r="L76" i="19"/>
  <c r="M76" i="19" s="1"/>
  <c r="L102" i="19"/>
  <c r="L10" i="19" s="1"/>
  <c r="M10" i="19" s="1"/>
  <c r="L110" i="19"/>
  <c r="M53" i="19" l="1"/>
  <c r="L56" i="19"/>
  <c r="L6" i="19" s="1"/>
  <c r="I56" i="19"/>
  <c r="I6" i="19" s="1"/>
  <c r="H68" i="19"/>
  <c r="H7" i="19" s="1"/>
  <c r="I63" i="19"/>
  <c r="I65" i="19"/>
  <c r="I62" i="19"/>
  <c r="M61" i="19"/>
  <c r="I61" i="19"/>
  <c r="G68" i="19"/>
  <c r="M12" i="19"/>
  <c r="I11" i="19"/>
  <c r="M110" i="19"/>
  <c r="L121" i="19"/>
  <c r="L11" i="19"/>
  <c r="M11" i="19" s="1"/>
  <c r="M94" i="19"/>
  <c r="L9" i="19"/>
  <c r="M9" i="19" s="1"/>
  <c r="L7" i="19"/>
  <c r="M56" i="19"/>
  <c r="M102" i="19"/>
  <c r="L8" i="19"/>
  <c r="M8" i="19" s="1"/>
  <c r="M119" i="19"/>
  <c r="M6" i="19"/>
  <c r="L13" i="19" l="1"/>
  <c r="B14" i="19" s="1"/>
  <c r="N119" i="19"/>
  <c r="I68" i="19"/>
  <c r="I7" i="19" s="1"/>
  <c r="M68" i="19"/>
  <c r="M7" i="19"/>
  <c r="H121" i="19"/>
  <c r="H13" i="19" s="1"/>
  <c r="D12" i="14" s="1"/>
  <c r="C16" i="14" s="1"/>
  <c r="I117" i="19"/>
  <c r="I119" i="19" s="1"/>
  <c r="G119" i="19"/>
  <c r="G12" i="19" s="1"/>
  <c r="G7" i="19"/>
  <c r="F12" i="14"/>
  <c r="N12" i="19" l="1"/>
  <c r="N121" i="19"/>
  <c r="N13" i="19" s="1"/>
  <c r="M121" i="19"/>
  <c r="M13" i="19"/>
  <c r="F117" i="19"/>
  <c r="G121" i="19"/>
  <c r="G13" i="19" s="1"/>
  <c r="C12" i="14" s="1"/>
  <c r="C15" i="14" s="1"/>
  <c r="I12" i="19"/>
  <c r="I121" i="19"/>
  <c r="E16" i="14"/>
  <c r="B15" i="19"/>
  <c r="C9" i="26" l="1"/>
  <c r="M146" i="19"/>
  <c r="N146" i="19" s="1"/>
  <c r="C50" i="26"/>
  <c r="E12" i="14"/>
  <c r="E15" i="14" s="1"/>
  <c r="F16" i="14" s="1"/>
  <c r="I13" i="19"/>
  <c r="I129" i="19"/>
  <c r="I146" i="19" s="1"/>
  <c r="B50" i="26"/>
  <c r="B9" i="26"/>
  <c r="D15" i="14"/>
  <c r="C18" i="14"/>
  <c r="D18" i="14" s="1"/>
  <c r="D16" i="14"/>
  <c r="F15" i="14" l="1"/>
  <c r="E18" i="14"/>
  <c r="F1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tc={58D4C7BF-2C42-4013-92D3-002AD56975C9}</author>
  </authors>
  <commentList>
    <comment ref="K127" authorId="0" shapeId="0" xr:uid="{58D4C7BF-2C42-4013-92D3-002AD56975C9}">
      <text>
        <t>[Threaded comment]
Your version of Excel allows you to read this threaded comment; however, any edits to it will get removed if the file is opened in a newer version of Excel. Learn more: https://go.microsoft.com/fwlink/?linkid=870924
Comment:
    Info needs to be entered</t>
      </text>
    </comment>
  </commentList>
</comments>
</file>

<file path=xl/sharedStrings.xml><?xml version="1.0" encoding="utf-8"?>
<sst xmlns="http://schemas.openxmlformats.org/spreadsheetml/2006/main" count="377" uniqueCount="250">
  <si>
    <t>FY 2022-23 HSGP Exhibit C1</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</si>
  <si>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</si>
  <si>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</si>
  <si>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</si>
  <si>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</si>
  <si>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</si>
  <si>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</si>
  <si>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</si>
  <si>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</si>
  <si>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</si>
  <si>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</si>
  <si>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</si>
  <si>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</si>
  <si>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</si>
  <si>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</si>
  <si>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</si>
  <si>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</si>
  <si>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</si>
  <si>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</si>
  <si>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</si>
  <si>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</si>
  <si>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</si>
  <si>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</si>
  <si>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</si>
  <si>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</si>
  <si>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</si>
  <si>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</si>
  <si>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</si>
  <si>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</si>
  <si>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</si>
  <si>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</si>
  <si>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</si>
  <si>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</si>
  <si>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</si>
  <si>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</si>
  <si>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</si>
  <si>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</si>
  <si>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</si>
  <si>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</si>
  <si>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</si>
  <si>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</si>
  <si>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</si>
  <si>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</si>
  <si>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</si>
  <si>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</si>
  <si>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</si>
  <si>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</si>
  <si>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</si>
  <si>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St. Joseph Center</t>
  </si>
  <si>
    <t>PROGRAM NAME:</t>
  </si>
  <si>
    <t>Santa Monica Retention Program</t>
  </si>
  <si>
    <t>REPORTING PERIOD:</t>
  </si>
  <si>
    <t>Year-End Report (2nd Period): 1/1/23 - 6/30/23</t>
  </si>
  <si>
    <t>A. Total City Funds Disbursed to Date:</t>
  </si>
  <si>
    <t>B. Total City Funds Expended to Date:</t>
  </si>
  <si>
    <t>C. Cash Balance (Line A - Line B):</t>
  </si>
  <si>
    <t>FY 2022-23 Program Budget: 7/1/22-6/30/23</t>
  </si>
  <si>
    <t>Senior/Executive Management</t>
  </si>
  <si>
    <t>Federal</t>
  </si>
  <si>
    <t>Mid-Year Report (1st Period): 7/1/22 - 12/31/22</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</si>
  <si>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</si>
  <si>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</si>
  <si>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</si>
  <si>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</si>
  <si>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</si>
  <si>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</si>
  <si>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</si>
  <si>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</si>
  <si>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</si>
  <si>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</si>
  <si>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</si>
  <si>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Ceasar Mejia</t>
  </si>
  <si>
    <t>Director</t>
  </si>
  <si>
    <t>Evon Davis</t>
  </si>
  <si>
    <t>Program Manager</t>
  </si>
  <si>
    <t>Miya Jackson</t>
  </si>
  <si>
    <t>Case Manager</t>
  </si>
  <si>
    <t>Maxwell Frank (temp for Miya)</t>
  </si>
  <si>
    <t>Brittany Coleman (replaces Miya)</t>
  </si>
  <si>
    <t>Kalvin Smalls</t>
  </si>
  <si>
    <t>Case Manager II</t>
  </si>
  <si>
    <t>MaJaya Lott Maxey</t>
  </si>
  <si>
    <t>Jaime Ceras</t>
  </si>
  <si>
    <t>Moore, Bamuma</t>
  </si>
  <si>
    <t>Kalvin Small (new CM II position)</t>
  </si>
  <si>
    <t>Nora Carbone</t>
  </si>
  <si>
    <t>Mental Health Specialist</t>
  </si>
  <si>
    <t>Vacant (replaces Nora)</t>
  </si>
  <si>
    <t>Rhonda Maybet</t>
  </si>
  <si>
    <t>Admin Assistant</t>
  </si>
  <si>
    <t>Yesenia Aguilar</t>
  </si>
  <si>
    <t>Employment Specialist</t>
  </si>
  <si>
    <t>Erica Wagner</t>
  </si>
  <si>
    <t>Food Pantry Assistant</t>
  </si>
  <si>
    <t>Fabian Asad</t>
  </si>
  <si>
    <t>Dante Harrington</t>
  </si>
  <si>
    <t>Compliance Specialist</t>
  </si>
  <si>
    <t>Liza Avetikova</t>
  </si>
  <si>
    <t>Senior Director</t>
  </si>
  <si>
    <t>Marjorie Salorzano</t>
  </si>
  <si>
    <t>Assistant Vice President</t>
  </si>
  <si>
    <t>Ryneese Baldwin</t>
  </si>
  <si>
    <t>OCS-SPA 5 Mental Health Specialist</t>
  </si>
  <si>
    <t>Sophia Dawidoff</t>
  </si>
  <si>
    <t>Amy Rocha</t>
  </si>
  <si>
    <t>OCS-SPA 5 Case Manager</t>
  </si>
  <si>
    <t>Antoinette Salas</t>
  </si>
  <si>
    <t>Adriana Eversole</t>
  </si>
  <si>
    <t>OCS Program Manager</t>
  </si>
  <si>
    <t>1A.  Staff Salaries TOTAL</t>
  </si>
  <si>
    <t>1B.  Staff Fringe Benefits</t>
  </si>
  <si>
    <t>List each fringe benefit as a percentage of total staff salaries listed above (FICA, SUI, Workers’ Compensation, Medical Insurance, Retirement, etc.).</t>
  </si>
  <si>
    <t>Description</t>
  </si>
  <si>
    <t>FICA at 7.65%</t>
  </si>
  <si>
    <t>SUI at 7.00% of first $7,000 of Gross Wages</t>
  </si>
  <si>
    <t>Worker's Compensation at 1.415% of Gross Wages</t>
  </si>
  <si>
    <t>Health Insurance</t>
  </si>
  <si>
    <t>Pension Plans</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</si>
  <si>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</si>
  <si>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</si>
  <si>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</si>
  <si>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</si>
  <si>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</si>
  <si>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</si>
  <si>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Automobile/Transportation</t>
  </si>
  <si>
    <t>Dues &amp; Subscriptions</t>
  </si>
  <si>
    <t>Outside Services - Computer Related</t>
  </si>
  <si>
    <t>Outside Services - Security</t>
  </si>
  <si>
    <t>Postage/Shipping/Office Supplies</t>
  </si>
  <si>
    <t>Telephone (landlines &amp; cell service)</t>
  </si>
  <si>
    <t>Rent/Building Maintenance &amp; Repairs/Utilities</t>
  </si>
  <si>
    <t>Equipment lease, repair, maint., purchase</t>
  </si>
  <si>
    <t>Insurance - Property/Liability/Automobile</t>
  </si>
  <si>
    <t>Staff Development &amp; Training</t>
  </si>
  <si>
    <t>Misc./Other Operating Expense</t>
  </si>
  <si>
    <t>3.  Operating Expenses TOTAL</t>
  </si>
  <si>
    <t>4.  Direct Client Support</t>
  </si>
  <si>
    <t>List any expenses associated with direct service provision, individual client support, scholarships, or stipends. Include estimated number of recipients.</t>
  </si>
  <si>
    <t>Direct Client Aid - Client Support Fund</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</si>
  <si>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</si>
  <si>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</si>
  <si>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</si>
  <si>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</si>
  <si>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</si>
  <si>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</si>
  <si>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</si>
  <si>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</si>
  <si>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</si>
  <si>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</si>
  <si>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</si>
  <si>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</si>
  <si>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</si>
  <si>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</si>
  <si>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</si>
  <si>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</si>
  <si>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</si>
  <si>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</si>
  <si>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</si>
  <si>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</si>
  <si>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</si>
  <si>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</si>
  <si>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</si>
  <si>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Department of Mental Health</t>
  </si>
  <si>
    <t>2.  Private/Corporate Grants</t>
  </si>
  <si>
    <t>3.  Individual Donations</t>
  </si>
  <si>
    <t>4.  Fundraising Events</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</si>
  <si>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</si>
  <si>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</si>
  <si>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</si>
  <si>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</si>
  <si>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</si>
  <si>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</si>
  <si>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</si>
  <si>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t>
  </si>
  <si>
    <t>Projected Total</t>
  </si>
  <si>
    <t>Mid-Year Actuals</t>
  </si>
  <si>
    <t>Year-End Actuals</t>
  </si>
  <si>
    <t>Total Unduplicated PP</t>
  </si>
  <si>
    <t>Total SMPP</t>
  </si>
  <si>
    <t>COST PER PARTICIPANT 
(Total Program Budget / Total Unduplicated Participants</t>
  </si>
  <si>
    <t>Year-End Actual</t>
  </si>
  <si>
    <t xml:space="preserve">Please also provide accurate complete demographic information as listed below by uploading an appropriate </t>
  </si>
  <si>
    <t>ServicePoint CCM report summary sheet via your agency’s SharePoint folder:</t>
  </si>
  <si>
    <t>Household ID (HH ID) and Head of Household (HoH)</t>
  </si>
  <si>
    <t xml:space="preserve">As required by LAHSA, each client must belong to a household, and each household must designate a Head of Household (HoH). </t>
  </si>
  <si>
    <t xml:space="preserve">Households must be created before an entry screen is completed. For households of more than one person, the household type </t>
  </si>
  <si>
    <t xml:space="preserve">must be chosen accordingly. For single individuals, the Household ID and Head of Household designation is automatically </t>
  </si>
  <si>
    <t>generated.</t>
  </si>
  <si>
    <t>Demographics</t>
  </si>
  <si>
    <t xml:space="preserve">As required by HUD, these data elements include but are not limited to chronically homeless, gender, race, ethnicity, veteran </t>
  </si>
  <si>
    <t xml:space="preserve">status, date of birth and prior living situation must be entered. </t>
  </si>
  <si>
    <t>Disabilities</t>
  </si>
  <si>
    <t xml:space="preserve">Each disability must have a separate sub-assessment record on the HUD assessment. </t>
  </si>
  <si>
    <t>Housing Placements</t>
  </si>
  <si>
    <t xml:space="preserve">Housing Placements must be entered on the Head of Household’s Housing Placement Assessment when the Household has </t>
  </si>
  <si>
    <t xml:space="preserve">been placed into housing. For housing placements to count towards the reporting period, the Start Date of the Housing Placement </t>
  </si>
  <si>
    <t xml:space="preserve">Assessment must be between the program-provider Entry and Exit dates and the reporting period, and the “Provider Making </t>
  </si>
  <si>
    <t xml:space="preserve">Housing Placement” must also match the Entry program-provider. End dates are required for all housing placements that have </t>
  </si>
  <si>
    <t xml:space="preserve">ended. For example, for clients that move from Emergency or Transitional Housing to Permanent Housing, an end date must be </t>
  </si>
  <si>
    <t>entered for that Emergency or Transitional Housing Placement record.</t>
  </si>
  <si>
    <t>Employment Placements</t>
  </si>
  <si>
    <t xml:space="preserve">Employment Placements are recorded for each client that has been placed in the Employment/Income Assessment in the Work </t>
  </si>
  <si>
    <t xml:space="preserve">History sub-assessment. The Start Date must be between the program-provider Entry and Exit dates, and the “Provider Making </t>
  </si>
  <si>
    <t xml:space="preserve">Employment Placement” must also match the program-provider. </t>
  </si>
  <si>
    <t>Exit Data</t>
  </si>
  <si>
    <t>When a client has completed or left a program, the Exit Reason and Destination must be indicated on the Exit screen. For clients</t>
  </si>
  <si>
    <t xml:space="preserve"> with other members in their household, each household member must be exited with Exit Reasons and Destinations as well.</t>
  </si>
  <si>
    <t>Santa Monica Residency</t>
  </si>
  <si>
    <t xml:space="preserve">In ClientTrack, Santa Monica Residency was determined by a single question, “Santa Monica Resident?” In ServicePoint, a </t>
  </si>
  <si>
    <t xml:space="preserve">series of questions related to a client’s history of homelessness determines their residency in Santa Monica. </t>
  </si>
  <si>
    <t>COST PER PARTICIPANT 
(Total Program Budget / 
Total Unduplicated Program Participants)</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</si>
  <si>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</si>
  <si>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</si>
  <si>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</si>
  <si>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</si>
  <si>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</si>
  <si>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</si>
  <si>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</si>
  <si>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</si>
  <si>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</si>
  <si>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</si>
  <si>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</si>
  <si>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</si>
  <si>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</si>
  <si>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</si>
  <si>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</si>
  <si>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</si>
  <si>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</si>
  <si>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</si>
  <si>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</si>
  <si>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</si>
  <si>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</si>
  <si>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</si>
  <si>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</si>
  <si>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</si>
  <si>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</si>
  <si>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</si>
  <si>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</si>
  <si>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</si>
  <si>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Type</t>
  </si>
  <si>
    <t>DMH/DHS/LAHSA/LA County</t>
  </si>
  <si>
    <t>Positive</t>
  </si>
  <si>
    <t>City &amp; Misc. Other</t>
  </si>
  <si>
    <t>Private Corporations/Foundations</t>
  </si>
  <si>
    <t>Personal Solicitation/Contribution</t>
  </si>
  <si>
    <t>Events (net)</t>
  </si>
  <si>
    <t>positive</t>
  </si>
  <si>
    <t>Early Learning Center</t>
  </si>
  <si>
    <t>Negative</t>
  </si>
  <si>
    <t>Other 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</si>
</sst>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 numFmtId="171" formatCode="_(&quot;$&quot;* #,##0.00_);_(&quot;$&quot;* \(#,##0.00\);_(&quot;$&quot;* &quot;-&quot;_);_(@_)"/>
  </numFmts>
  <fonts count="35"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thin">
        <color indexed="64"/>
      </left>
      <right/>
      <top style="thin">
        <color indexed="64"/>
      </top>
      <bottom style="thin">
        <color theme="0" tint="-0.1499679555650502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theme="0" tint="-0.14996795556505021"/>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32">
    <xf numFmtId="0" fontId="0" fillId="0" borderId="0" xfId="0"/>
    <xf numFmtId="0" fontId="1" fillId="0" borderId="0" xfId="3"/>
    <xf numFmtId="9" fontId="3" fillId="4" borderId="2" xfId="5" applyFont="1" applyFill="1" applyBorder="1" applyAlignment="1" applyProtection="1">
      <alignment horizontal="center"/>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4" borderId="24" xfId="5" applyFont="1" applyFill="1" applyBorder="1" applyAlignment="1" applyProtection="1">
      <alignment horizontal="center"/>
    </xf>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3" fillId="0" borderId="0" xfId="3" applyFont="1"/>
    <xf numFmtId="164" fontId="4" fillId="3" borderId="0" xfId="2" applyNumberFormat="1" applyFont="1" applyFill="1" applyBorder="1" applyAlignment="1" applyProtection="1">
      <alignment horizontal="center"/>
    </xf>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41" fontId="5" fillId="5" borderId="11" xfId="3" applyNumberFormat="1" applyFont="1" applyFill="1" applyBorder="1" applyAlignment="1">
      <alignment horizontal="center"/>
    </xf>
    <xf numFmtId="41" fontId="19"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9" fontId="2" fillId="4" borderId="42" xfId="5" applyFont="1" applyFill="1" applyBorder="1" applyAlignment="1" applyProtection="1">
      <alignment horizontal="center"/>
    </xf>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Alignment="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4" borderId="17" xfId="5" applyFont="1" applyFill="1" applyBorder="1" applyAlignment="1" applyProtection="1">
      <alignment horizontal="center"/>
    </xf>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59"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42" fontId="1" fillId="0" borderId="12" xfId="2" applyNumberFormat="1" applyFont="1" applyFill="1" applyBorder="1" applyProtection="1"/>
    <xf numFmtId="0" fontId="1" fillId="7" borderId="26" xfId="2" applyNumberFormat="1" applyFont="1" applyFill="1" applyBorder="1" applyProtection="1"/>
    <xf numFmtId="42" fontId="1" fillId="7" borderId="45" xfId="2" applyNumberFormat="1" applyFont="1" applyFill="1" applyBorder="1" applyProtection="1"/>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6" fillId="0" borderId="0" xfId="3" applyFont="1" applyAlignment="1">
      <alignment vertical="top"/>
    </xf>
    <xf numFmtId="0" fontId="26"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29" fillId="0" borderId="0" xfId="3" applyFont="1" applyAlignment="1">
      <alignment horizontal="center" wrapText="1"/>
    </xf>
    <xf numFmtId="0" fontId="17" fillId="0" borderId="0" xfId="3" applyFont="1" applyAlignment="1">
      <alignment horizontal="center" wrapText="1"/>
    </xf>
    <xf numFmtId="0" fontId="29" fillId="0" borderId="0" xfId="3" applyFont="1"/>
    <xf numFmtId="164" fontId="29" fillId="0" borderId="0" xfId="2" applyNumberFormat="1" applyFont="1" applyBorder="1" applyAlignment="1" applyProtection="1">
      <alignment horizontal="center" wrapText="1"/>
    </xf>
    <xf numFmtId="0" fontId="28"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9" xfId="3" applyFont="1" applyBorder="1"/>
    <xf numFmtId="0" fontId="1" fillId="0" borderId="0" xfId="3" applyAlignment="1">
      <alignment wrapText="1"/>
    </xf>
    <xf numFmtId="0" fontId="1" fillId="0" borderId="49" xfId="3" applyBorder="1"/>
    <xf numFmtId="0" fontId="1" fillId="0" borderId="0" xfId="3" applyAlignment="1">
      <alignment horizontal="left" wrapText="1"/>
    </xf>
    <xf numFmtId="42" fontId="4" fillId="12" borderId="12" xfId="2" applyNumberFormat="1" applyFont="1" applyFill="1" applyBorder="1" applyAlignment="1" applyProtection="1"/>
    <xf numFmtId="0" fontId="4" fillId="12" borderId="14" xfId="2" applyNumberFormat="1" applyFont="1" applyFill="1" applyBorder="1" applyAlignment="1" applyProtection="1">
      <alignment horizontal="center" vertical="center" wrapText="1"/>
    </xf>
    <xf numFmtId="0" fontId="31" fillId="0" borderId="0" xfId="3" applyFont="1"/>
    <xf numFmtId="0" fontId="32" fillId="0" borderId="0" xfId="3" applyFont="1"/>
    <xf numFmtId="0" fontId="33" fillId="0" borderId="0" xfId="3" applyFont="1" applyAlignment="1">
      <alignment horizontal="center"/>
    </xf>
    <xf numFmtId="0" fontId="34" fillId="9" borderId="18" xfId="3" applyFont="1" applyFill="1" applyBorder="1" applyAlignment="1">
      <alignment horizontal="center" vertical="center" wrapText="1"/>
    </xf>
    <xf numFmtId="0" fontId="34" fillId="9" borderId="1" xfId="3" applyFont="1" applyFill="1" applyBorder="1" applyAlignment="1">
      <alignment horizontal="center" vertical="center" wrapText="1"/>
    </xf>
    <xf numFmtId="44" fontId="4" fillId="12" borderId="14" xfId="2" applyFont="1" applyFill="1" applyBorder="1" applyAlignment="1" applyProtection="1">
      <alignment horizontal="center" vertical="center" wrapText="1"/>
    </xf>
    <xf numFmtId="42" fontId="3" fillId="12" borderId="12" xfId="3" applyNumberFormat="1" applyFont="1" applyFill="1" applyBorder="1"/>
    <xf numFmtId="0" fontId="1" fillId="12" borderId="12" xfId="3" applyFill="1" applyBorder="1"/>
    <xf numFmtId="42" fontId="4" fillId="12" borderId="12" xfId="2" applyNumberFormat="1" applyFont="1" applyFill="1" applyBorder="1" applyAlignment="1" applyProtection="1">
      <protection locked="0"/>
    </xf>
    <xf numFmtId="0" fontId="4" fillId="12" borderId="12" xfId="3" applyFont="1" applyFill="1" applyBorder="1" applyProtection="1">
      <protection locked="0"/>
    </xf>
    <xf numFmtId="42" fontId="1" fillId="12" borderId="21" xfId="2" applyNumberFormat="1" applyFont="1" applyFill="1" applyBorder="1" applyProtection="1"/>
    <xf numFmtId="42" fontId="1" fillId="12" borderId="22" xfId="2" applyNumberFormat="1" applyFont="1" applyFill="1" applyBorder="1" applyProtection="1"/>
    <xf numFmtId="49" fontId="1" fillId="12" borderId="45" xfId="5" applyNumberFormat="1" applyFont="1" applyFill="1" applyBorder="1" applyAlignment="1" applyProtection="1">
      <alignment horizontal="left" vertical="top" wrapText="1"/>
    </xf>
    <xf numFmtId="49" fontId="1" fillId="12" borderId="54" xfId="5" applyNumberFormat="1" applyFont="1" applyFill="1" applyBorder="1" applyAlignment="1" applyProtection="1">
      <alignment horizontal="left" vertical="top" wrapText="1"/>
    </xf>
    <xf numFmtId="49" fontId="1" fillId="12" borderId="51" xfId="5"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49" fontId="1" fillId="12" borderId="58" xfId="5" applyNumberFormat="1" applyFont="1" applyFill="1" applyBorder="1" applyAlignment="1" applyProtection="1">
      <alignment horizontal="left" vertical="top" wrapText="1"/>
    </xf>
    <xf numFmtId="0" fontId="1" fillId="12" borderId="26" xfId="2" applyNumberFormat="1" applyFont="1" applyFill="1" applyBorder="1" applyProtection="1"/>
    <xf numFmtId="0" fontId="3" fillId="0" borderId="0" xfId="3" applyFont="1"/>
    <xf numFmtId="0" fontId="1" fillId="0" borderId="0" xfId="3"/>
    <xf numFmtId="171" fontId="1" fillId="0" borderId="21" xfId="2" applyNumberFormat="1" applyFont="1" applyFill="1" applyBorder="1" applyProtection="1"/>
    <xf numFmtId="171" fontId="1" fillId="0" borderId="19" xfId="2" applyNumberFormat="1" applyFont="1" applyFill="1" applyBorder="1" applyProtection="1"/>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3" fillId="0" borderId="0" xfId="3" applyFont="1" applyAlignment="1">
      <alignment vertical="top"/>
    </xf>
    <xf numFmtId="0" fontId="3" fillId="13" borderId="12" xfId="3" applyFont="1" applyFill="1" applyBorder="1" applyAlignment="1">
      <alignment horizontal="center" wrapText="1"/>
    </xf>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5" borderId="3" xfId="3" applyFont="1" applyFill="1" applyBorder="1" applyProtection="1"/>
    <xf numFmtId="0" fontId="2" fillId="5" borderId="2" xfId="3" applyFont="1" applyFill="1" applyBorder="1" applyProtection="1"/>
    <xf numFmtId="0" fontId="2" fillId="5"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2" borderId="12" xfId="3" applyNumberFormat="1" applyFont="1" applyFill="1" applyBorder="1" applyProtection="1"/>
    <xf numFmtId="0" fontId="1" fillId="0" borderId="0" xfId="3" applyAlignment="1" applyProtection="1">
      <alignment horizontal="left" indent="1"/>
    </xf>
    <xf numFmtId="49" fontId="2" fillId="12" borderId="15" xfId="3" applyNumberFormat="1" applyFont="1" applyFill="1" applyBorder="1" applyProtection="1"/>
    <xf numFmtId="0" fontId="1" fillId="0" borderId="8" xfId="3" applyBorder="1" applyProtection="1"/>
    <xf numFmtId="0" fontId="2" fillId="0" borderId="8" xfId="3" applyFont="1" applyBorder="1" applyProtection="1"/>
    <xf numFmtId="0" fontId="12" fillId="12" borderId="12" xfId="3" applyFont="1" applyFill="1" applyBorder="1" applyProtection="1"/>
    <xf numFmtId="42" fontId="1" fillId="6"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ill="1" applyBorder="1" applyProtection="1"/>
    <xf numFmtId="0" fontId="7" fillId="4" borderId="33" xfId="3" applyFont="1" applyFill="1" applyBorder="1" applyAlignment="1" applyProtection="1">
      <alignment horizontal="center"/>
    </xf>
    <xf numFmtId="0" fontId="12" fillId="4" borderId="35" xfId="3" applyFont="1" applyFill="1" applyBorder="1" applyProtection="1"/>
    <xf numFmtId="0" fontId="7" fillId="4" borderId="0" xfId="3" applyFont="1" applyFill="1" applyProtection="1"/>
    <xf numFmtId="0" fontId="12" fillId="4" borderId="0" xfId="3" applyFont="1" applyFill="1" applyProtection="1"/>
    <xf numFmtId="0" fontId="7" fillId="4"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6" borderId="21" xfId="2" applyNumberFormat="1" applyFont="1" applyFill="1" applyBorder="1" applyProtection="1"/>
    <xf numFmtId="42" fontId="1" fillId="0" borderId="21" xfId="3" applyNumberFormat="1" applyBorder="1" applyProtection="1"/>
    <xf numFmtId="42" fontId="1" fillId="6" borderId="36" xfId="3" applyNumberForma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0" borderId="37" xfId="3" applyBorder="1" applyProtection="1"/>
    <xf numFmtId="0" fontId="1" fillId="0" borderId="38" xfId="3"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0" fontId="2" fillId="4" borderId="11" xfId="3" applyFont="1" applyFill="1" applyBorder="1" applyProtection="1"/>
    <xf numFmtId="0" fontId="2" fillId="4" borderId="10" xfId="3" applyFont="1" applyFill="1" applyBorder="1" applyProtection="1"/>
    <xf numFmtId="0" fontId="1" fillId="4" borderId="10" xfId="3" applyFill="1" applyBorder="1" applyProtection="1"/>
    <xf numFmtId="0" fontId="7" fillId="4" borderId="10" xfId="3" applyFont="1" applyFill="1" applyBorder="1" applyAlignment="1" applyProtection="1">
      <alignment horizontal="center"/>
    </xf>
    <xf numFmtId="0" fontId="12" fillId="4"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2" borderId="20" xfId="0" applyNumberFormat="1" applyFont="1" applyFill="1" applyBorder="1" applyAlignment="1" applyProtection="1">
      <alignment horizontal="left" vertical="top"/>
    </xf>
    <xf numFmtId="49" fontId="1" fillId="12" borderId="45" xfId="0" applyNumberFormat="1" applyFont="1" applyFill="1" applyBorder="1" applyAlignment="1" applyProtection="1">
      <alignment horizontal="left" vertical="top" shrinkToFit="1"/>
    </xf>
    <xf numFmtId="49" fontId="1" fillId="12" borderId="45" xfId="3" applyNumberFormat="1" applyFill="1" applyBorder="1" applyAlignment="1" applyProtection="1">
      <alignment horizontal="left" vertical="top" wrapText="1"/>
    </xf>
    <xf numFmtId="49" fontId="1" fillId="12" borderId="26"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6" borderId="23" xfId="2" applyNumberFormat="1" applyFont="1" applyFill="1" applyBorder="1" applyProtection="1"/>
    <xf numFmtId="49" fontId="1" fillId="12" borderId="20" xfId="3" applyNumberFormat="1" applyFill="1" applyBorder="1" applyAlignment="1" applyProtection="1">
      <alignment horizontal="left" vertical="top"/>
    </xf>
    <xf numFmtId="42" fontId="1" fillId="6" borderId="19" xfId="2" applyNumberFormat="1" applyFont="1" applyFill="1" applyBorder="1" applyProtection="1"/>
    <xf numFmtId="42" fontId="1" fillId="6" borderId="28" xfId="2" applyNumberFormat="1" applyFont="1" applyFill="1" applyBorder="1" applyProtection="1"/>
    <xf numFmtId="49" fontId="1" fillId="12" borderId="20" xfId="3" applyNumberFormat="1" applyFill="1" applyBorder="1" applyAlignment="1" applyProtection="1">
      <alignment horizontal="left" vertical="top" wrapText="1"/>
    </xf>
    <xf numFmtId="49" fontId="1" fillId="12" borderId="54" xfId="3" applyNumberFormat="1" applyFill="1" applyBorder="1" applyAlignment="1" applyProtection="1">
      <alignment horizontal="left" vertical="top" wrapText="1"/>
    </xf>
    <xf numFmtId="49" fontId="1" fillId="12" borderId="44" xfId="3" applyNumberFormat="1" applyFill="1" applyBorder="1" applyAlignment="1" applyProtection="1">
      <alignment horizontal="left" vertical="top" wrapText="1"/>
    </xf>
    <xf numFmtId="0" fontId="2" fillId="4" borderId="53"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9" fontId="1" fillId="12" borderId="50" xfId="0" applyNumberFormat="1" applyFont="1" applyFill="1" applyBorder="1" applyAlignment="1" applyProtection="1">
      <alignment horizontal="left" vertical="top"/>
    </xf>
    <xf numFmtId="49" fontId="1" fillId="12" borderId="51" xfId="0" applyNumberFormat="1" applyFont="1" applyFill="1" applyBorder="1" applyAlignment="1" applyProtection="1">
      <alignment horizontal="left" vertical="top" shrinkToFit="1"/>
    </xf>
    <xf numFmtId="49" fontId="1" fillId="12" borderId="51" xfId="3" applyNumberFormat="1" applyFill="1" applyBorder="1" applyAlignment="1" applyProtection="1">
      <alignment horizontal="left" vertical="top" wrapText="1"/>
    </xf>
    <xf numFmtId="49" fontId="1" fillId="12" borderId="52" xfId="3" applyNumberFormat="1" applyFill="1" applyBorder="1" applyAlignment="1" applyProtection="1">
      <alignment horizontal="left" vertical="top" wrapText="1"/>
    </xf>
    <xf numFmtId="49" fontId="1" fillId="12" borderId="50" xfId="3" applyNumberFormat="1" applyFill="1" applyBorder="1" applyAlignment="1" applyProtection="1">
      <alignment horizontal="left" vertical="top"/>
    </xf>
    <xf numFmtId="42" fontId="1" fillId="6" borderId="22" xfId="2" applyNumberFormat="1" applyFont="1" applyFill="1" applyBorder="1" applyProtection="1"/>
    <xf numFmtId="0" fontId="2" fillId="4" borderId="11" xfId="3" applyFont="1" applyFill="1" applyBorder="1" applyAlignment="1" applyProtection="1">
      <alignment wrapText="1"/>
    </xf>
    <xf numFmtId="0" fontId="12" fillId="4" borderId="0" xfId="3" applyFont="1" applyFill="1" applyAlignment="1" applyProtection="1">
      <alignment wrapText="1"/>
    </xf>
    <xf numFmtId="0" fontId="12" fillId="4" borderId="7" xfId="3" applyFont="1" applyFill="1" applyBorder="1" applyProtection="1"/>
    <xf numFmtId="0" fontId="7" fillId="4" borderId="8" xfId="3" applyFont="1" applyFill="1" applyBorder="1" applyAlignment="1" applyProtection="1">
      <alignment horizontal="left" indent="1"/>
    </xf>
    <xf numFmtId="49" fontId="1" fillId="12" borderId="55" xfId="0" applyNumberFormat="1" applyFont="1" applyFill="1" applyBorder="1" applyAlignment="1" applyProtection="1">
      <alignment horizontal="left" vertical="top" shrinkToFit="1"/>
    </xf>
    <xf numFmtId="49" fontId="1" fillId="12" borderId="56"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2" borderId="55" xfId="3" applyNumberFormat="1" applyFill="1" applyBorder="1" applyAlignment="1" applyProtection="1">
      <alignment horizontal="left" vertical="top" wrapText="1"/>
    </xf>
    <xf numFmtId="42" fontId="1" fillId="6" borderId="27" xfId="2" applyNumberFormat="1" applyFont="1" applyFill="1" applyBorder="1" applyProtection="1"/>
    <xf numFmtId="0" fontId="2" fillId="4" borderId="17" xfId="3" applyFont="1" applyFill="1" applyBorder="1" applyAlignment="1" applyProtection="1">
      <alignment horizontal="center"/>
    </xf>
    <xf numFmtId="0" fontId="3" fillId="4" borderId="3" xfId="3" applyFont="1" applyFill="1" applyBorder="1" applyAlignment="1" applyProtection="1">
      <alignment horizontal="right"/>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2" xfId="3" applyFont="1" applyFill="1" applyBorder="1" applyAlignment="1" applyProtection="1">
      <alignment horizontal="center"/>
    </xf>
    <xf numFmtId="0" fontId="3" fillId="4" borderId="11" xfId="3" applyFont="1" applyFill="1" applyBorder="1" applyProtection="1"/>
    <xf numFmtId="0" fontId="2" fillId="4" borderId="9" xfId="3" applyFont="1" applyFill="1" applyBorder="1"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2" borderId="29" xfId="0"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3" fillId="0" borderId="0" xfId="3" applyFont="1" applyAlignment="1" applyProtection="1">
      <alignment horizontal="left" vertical="center"/>
    </xf>
    <xf numFmtId="0" fontId="2" fillId="0" borderId="0" xfId="3" applyFont="1" applyAlignment="1" applyProtection="1">
      <alignment horizontal="center" vertical="center"/>
    </xf>
    <xf numFmtId="0" fontId="2" fillId="0" borderId="0" xfId="3" applyFont="1" applyAlignment="1" applyProtection="1">
      <alignment horizontal="center" vertical="center" textRotation="90" wrapText="1"/>
    </xf>
    <xf numFmtId="0" fontId="2" fillId="0" borderId="0" xfId="3" applyFont="1" applyAlignment="1" applyProtection="1">
      <alignment horizontal="center" vertical="center" textRotation="90"/>
    </xf>
    <xf numFmtId="0" fontId="1" fillId="0" borderId="0" xfId="3" applyAlignment="1" applyProtection="1">
      <alignment vertical="center" textRotation="90"/>
    </xf>
    <xf numFmtId="0" fontId="1" fillId="0" borderId="0" xfId="3" applyAlignment="1" applyProtection="1">
      <alignment vertical="center"/>
    </xf>
    <xf numFmtId="0" fontId="13" fillId="0" borderId="0" xfId="3" applyFont="1" applyAlignment="1" applyProtection="1">
      <alignment horizontal="center" vertical="center"/>
    </xf>
    <xf numFmtId="0" fontId="20" fillId="4" borderId="14" xfId="3" applyFont="1" applyFill="1" applyBorder="1" applyAlignment="1" applyProtection="1">
      <alignment horizontal="left" vertical="center"/>
    </xf>
    <xf numFmtId="0" fontId="20" fillId="4" borderId="46" xfId="3" applyFont="1" applyFill="1" applyBorder="1" applyAlignment="1" applyProtection="1">
      <alignment horizontal="center" vertical="center"/>
    </xf>
    <xf numFmtId="0" fontId="20" fillId="4" borderId="47" xfId="3" applyFont="1" applyFill="1" applyBorder="1" applyAlignment="1" applyProtection="1">
      <alignment horizontal="center" vertical="center"/>
    </xf>
    <xf numFmtId="0" fontId="4" fillId="0" borderId="0" xfId="3" applyFont="1" applyAlignment="1" applyProtection="1">
      <alignment vertical="center"/>
    </xf>
    <xf numFmtId="0" fontId="4" fillId="0" borderId="60" xfId="0" applyFont="1" applyBorder="1" applyAlignment="1" applyProtection="1">
      <alignment horizontal="right" vertical="center"/>
    </xf>
    <xf numFmtId="0" fontId="4" fillId="12" borderId="14" xfId="3" applyFont="1" applyFill="1" applyBorder="1" applyAlignment="1" applyProtection="1">
      <alignment horizontal="center" vertical="center" wrapText="1"/>
    </xf>
    <xf numFmtId="0" fontId="4" fillId="6" borderId="61" xfId="3" applyFont="1" applyFill="1" applyBorder="1" applyAlignment="1" applyProtection="1">
      <alignment horizontal="center" vertical="center"/>
    </xf>
    <xf numFmtId="0" fontId="4" fillId="6" borderId="62" xfId="3" applyFont="1" applyFill="1" applyBorder="1" applyAlignment="1" applyProtection="1">
      <alignment horizontal="center" vertical="center"/>
    </xf>
    <xf numFmtId="0" fontId="4" fillId="0" borderId="63" xfId="0" applyFont="1" applyBorder="1" applyAlignment="1" applyProtection="1">
      <alignment horizontal="right" vertical="center"/>
    </xf>
    <xf numFmtId="0" fontId="4" fillId="0" borderId="0" xfId="3" applyFont="1" applyAlignment="1" applyProtection="1">
      <alignment horizontal="center" vertical="center"/>
    </xf>
    <xf numFmtId="0" fontId="4" fillId="0" borderId="0" xfId="3" applyFont="1" applyAlignment="1" applyProtection="1">
      <alignment horizontal="center" vertical="center" wrapText="1"/>
    </xf>
    <xf numFmtId="0" fontId="20" fillId="4" borderId="14" xfId="3" applyFont="1" applyFill="1" applyBorder="1" applyAlignment="1" applyProtection="1">
      <alignment horizontal="left" vertical="center" wrapText="1"/>
    </xf>
    <xf numFmtId="0" fontId="20" fillId="4" borderId="64" xfId="3" applyFont="1" applyFill="1" applyBorder="1" applyAlignment="1" applyProtection="1">
      <alignment horizontal="left" vertical="center"/>
    </xf>
    <xf numFmtId="0" fontId="20" fillId="4" borderId="49" xfId="3" applyFont="1" applyFill="1" applyBorder="1" applyAlignment="1" applyProtection="1">
      <alignment horizontal="center" vertical="center"/>
    </xf>
    <xf numFmtId="0" fontId="20" fillId="4" borderId="65" xfId="3" applyFont="1" applyFill="1" applyBorder="1" applyAlignment="1" applyProtection="1">
      <alignment horizontal="center" vertical="center"/>
    </xf>
    <xf numFmtId="0" fontId="20" fillId="4" borderId="66" xfId="3" applyFont="1" applyFill="1" applyBorder="1" applyAlignment="1" applyProtection="1">
      <alignment horizontal="left" vertical="center"/>
    </xf>
    <xf numFmtId="0" fontId="20" fillId="4" borderId="12" xfId="3" applyFont="1" applyFill="1" applyBorder="1" applyAlignment="1" applyProtection="1">
      <alignment horizontal="center" vertical="center"/>
    </xf>
    <xf numFmtId="0" fontId="20" fillId="4" borderId="67" xfId="3" applyFont="1" applyFill="1" applyBorder="1" applyAlignment="1" applyProtection="1">
      <alignment horizontal="center" vertical="center"/>
    </xf>
    <xf numFmtId="0" fontId="4" fillId="0" borderId="0" xfId="3" applyFont="1" applyAlignment="1" applyProtection="1">
      <alignment horizontal="left" vertical="center"/>
    </xf>
    <xf numFmtId="0" fontId="4" fillId="0" borderId="0" xfId="3" applyFont="1" applyAlignment="1" applyProtection="1">
      <alignment horizontal="left" vertical="center" wrapText="1"/>
    </xf>
    <xf numFmtId="0" fontId="3" fillId="0" borderId="0" xfId="3" applyFont="1" applyAlignment="1" applyProtection="1">
      <alignment horizontal="left" vertical="center" indent="2"/>
    </xf>
    <xf numFmtId="0" fontId="4" fillId="0" borderId="0" xfId="3" applyFont="1" applyAlignment="1" applyProtection="1">
      <alignment horizontal="left" vertical="center" indent="2"/>
    </xf>
    <xf numFmtId="0" fontId="1" fillId="0" borderId="0" xfId="3" applyAlignment="1" applyProtection="1">
      <alignment horizontal="center" vertical="center"/>
    </xf>
    <xf numFmtId="0" fontId="1" fillId="0" borderId="0" xfId="3" applyAlignment="1" applyProtection="1">
      <alignment horizontal="center" vertical="center" wrapText="1"/>
    </xf>
    <xf numFmtId="0" fontId="1" fillId="0" borderId="0" xfId="3" applyAlignment="1" applyProtection="1">
      <alignment vertical="center" wrapText="1"/>
    </xf>
    <xf numFmtId="0" fontId="1" fillId="0" borderId="0" xfId="3" applyAlignment="1">
      <alignment horizontal="left" vertical="center" wrapText="1"/>
    </xf>
    <xf numFmtId="0" fontId="16" fillId="11" borderId="0" xfId="3" applyFont="1" applyFill="1"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41" fontId="19" fillId="5" borderId="0" xfId="3" applyNumberFormat="1" applyFont="1" applyFill="1" applyAlignment="1">
      <alignment horizontal="center" wrapText="1"/>
    </xf>
    <xf numFmtId="41" fontId="19" fillId="5" borderId="7" xfId="3" applyNumberFormat="1" applyFont="1" applyFill="1" applyBorder="1" applyAlignment="1">
      <alignment horizontal="center" wrapText="1"/>
    </xf>
    <xf numFmtId="0" fontId="12" fillId="0" borderId="0" xfId="3" applyFont="1" applyAlignment="1"/>
    <xf numFmtId="0" fontId="1" fillId="0" borderId="0" xfId="3" applyAlignment="1"/>
    <xf numFmtId="0" fontId="3" fillId="0" borderId="0" xfId="3" applyFont="1" applyAlignment="1"/>
    <xf numFmtId="0" fontId="13" fillId="0" borderId="0" xfId="3" applyFont="1" applyAlignment="1">
      <alignment vertical="top"/>
    </xf>
    <xf numFmtId="0" fontId="30" fillId="0" borderId="0" xfId="3" applyFont="1" applyAlignment="1"/>
    <xf numFmtId="0" fontId="4" fillId="0" borderId="48" xfId="3" applyFont="1" applyBorder="1" applyAlignment="1">
      <alignment horizontal="justify" vertical="center" wrapText="1"/>
    </xf>
    <xf numFmtId="0" fontId="4" fillId="0" borderId="15" xfId="3" applyFont="1" applyBorder="1" applyAlignment="1"/>
    <xf numFmtId="0" fontId="3" fillId="13" borderId="12" xfId="3" applyFont="1" applyFill="1" applyBorder="1" applyAlignment="1">
      <alignment horizontal="center" wrapText="1"/>
    </xf>
    <xf numFmtId="0" fontId="1" fillId="13" borderId="12" xfId="3" applyFill="1" applyBorder="1" applyAlignment="1">
      <alignment horizontal="center" wrapText="1"/>
    </xf>
    <xf numFmtId="170" fontId="2" fillId="4" borderId="42" xfId="3" applyNumberFormat="1" applyFont="1" applyFill="1" applyBorder="1" applyAlignment="1" applyProtection="1">
      <alignment horizontal="right"/>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120650</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44450</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120650</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Aliya Buttar" id="{98B57970-B4EB-4A12-A373-D2A9E753FBC1}" userId="S::Aliya.Buttar@santamonica.gov::c3d7142b-0c55-4b49-b043-01e04ce309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127" dT="2023-08-16T15:53:51.61" personId="{98B57970-B4EB-4A12-A373-D2A9E753FBC1}" id="{58D4C7BF-2C42-4013-92D3-002AD56975C9}">
    <text>Info needs to be entered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0BFE8-9C55-46C3-8930-7C82742952EE}">
  <sheetPr>
    <tabColor rgb="FFFF0000"/>
    <pageSetUpPr autoPageBreaks="0"/>
  </sheetPr>
  <dimension ref="A1:C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37" customFormat="1" ht="18" x14ac:dyDescent="0.25">
      <c r="A1" s="319" t="s">
        <v>0</v>
      </c>
      <c r="B1" s="319"/>
      <c r="C1" s="319"/>
    </row>
    <row r="2" spans="1:3" s="138" customFormat="1" ht="18" x14ac:dyDescent="0.25">
      <c r="A2" s="319" t="s">
        <v>1</v>
      </c>
      <c r="B2" s="319"/>
      <c r="C2" s="319"/>
    </row>
    <row r="3" spans="1:3" s="139" customFormat="1" ht="13.5" thickBot="1" x14ac:dyDescent="0.25">
      <c r="A3" s="138"/>
      <c r="B3" s="138"/>
      <c r="C3" s="138"/>
    </row>
    <row r="4" spans="1:3" s="138" customFormat="1" ht="15.75" thickBot="1" x14ac:dyDescent="0.25">
      <c r="A4" s="140" t="s">
        <v>2</v>
      </c>
      <c r="B4" s="141" t="s">
        <v>3</v>
      </c>
      <c r="C4" s="141" t="s">
        <v>4</v>
      </c>
    </row>
    <row r="5" spans="1:3" s="138" customFormat="1" ht="29.25" thickBot="1" x14ac:dyDescent="0.25">
      <c r="A5" s="34" t="s">
        <v>5</v>
      </c>
      <c r="B5" s="33" t="s">
        <v>6</v>
      </c>
      <c r="C5" s="32">
        <v>44963</v>
      </c>
    </row>
    <row r="6" spans="1:3" s="138" customFormat="1" ht="29.25" thickBot="1" x14ac:dyDescent="0.25">
      <c r="A6" s="34" t="s">
        <v>7</v>
      </c>
      <c r="B6" s="33" t="s">
        <v>8</v>
      </c>
      <c r="C6" s="32">
        <v>45145</v>
      </c>
    </row>
    <row r="8" spans="1:3" ht="17.25" customHeight="1" x14ac:dyDescent="0.2">
      <c r="A8" s="316" t="s">
        <v>9</v>
      </c>
      <c r="B8" s="316"/>
      <c r="C8" s="316"/>
    </row>
    <row r="9" spans="1:3" ht="74.25" customHeight="1" x14ac:dyDescent="0.2">
      <c r="A9" s="315" t="s">
        <v>10</v>
      </c>
      <c r="B9" s="315"/>
      <c r="C9" s="315"/>
    </row>
    <row r="10" spans="1:3" ht="45.75" customHeight="1" x14ac:dyDescent="0.2">
      <c r="A10" s="315" t="s">
        <v>11</v>
      </c>
      <c r="B10" s="315"/>
      <c r="C10" s="315"/>
    </row>
    <row r="11" spans="1:3" ht="90" customHeight="1" x14ac:dyDescent="0.2">
      <c r="A11" s="315" t="s">
        <v>12</v>
      </c>
      <c r="B11" s="315"/>
      <c r="C11" s="315"/>
    </row>
    <row r="12" spans="1:3" ht="11.25" customHeight="1" x14ac:dyDescent="0.2">
      <c r="A12" s="315"/>
      <c r="B12" s="315"/>
      <c r="C12" s="315"/>
    </row>
    <row r="13" spans="1:3" ht="15" customHeight="1" x14ac:dyDescent="0.2">
      <c r="A13" s="316" t="s">
        <v>13</v>
      </c>
      <c r="B13" s="316"/>
      <c r="C13" s="316"/>
    </row>
    <row r="14" spans="1:3" ht="65.25" customHeight="1" x14ac:dyDescent="0.2">
      <c r="A14" s="315" t="s">
        <v>14</v>
      </c>
      <c r="B14" s="315"/>
      <c r="C14" s="315"/>
    </row>
    <row r="15" spans="1:3" s="12" customFormat="1" ht="50.25" customHeight="1" x14ac:dyDescent="0.2">
      <c r="A15" s="315" t="s">
        <v>15</v>
      </c>
      <c r="B15" s="315"/>
      <c r="C15" s="315"/>
    </row>
    <row r="16" spans="1:3" x14ac:dyDescent="0.2">
      <c r="A16" s="315"/>
      <c r="B16" s="315"/>
      <c r="C16" s="315"/>
    </row>
    <row r="17" spans="1:3" ht="16.5" customHeight="1" x14ac:dyDescent="0.2">
      <c r="A17" s="318" t="s">
        <v>16</v>
      </c>
      <c r="B17" s="318"/>
      <c r="C17" s="318"/>
    </row>
    <row r="18" spans="1:3" ht="30.75" customHeight="1" x14ac:dyDescent="0.2">
      <c r="A18" s="317" t="s">
        <v>17</v>
      </c>
      <c r="B18" s="317"/>
      <c r="C18" s="317"/>
    </row>
    <row r="19" spans="1:3" ht="30" customHeight="1" x14ac:dyDescent="0.2">
      <c r="A19" s="317" t="s">
        <v>18</v>
      </c>
      <c r="B19" s="317"/>
      <c r="C19" s="317"/>
    </row>
    <row r="20" spans="1:3" s="12" customFormat="1" ht="24.75" customHeight="1" x14ac:dyDescent="0.2">
      <c r="A20" s="317" t="s">
        <v>19</v>
      </c>
      <c r="B20" s="317"/>
      <c r="C20" s="317"/>
    </row>
    <row r="21" spans="1:3" ht="30" customHeight="1" x14ac:dyDescent="0.2">
      <c r="A21" s="317" t="s">
        <v>20</v>
      </c>
      <c r="B21" s="317"/>
      <c r="C21" s="317"/>
    </row>
    <row r="22" spans="1:3" x14ac:dyDescent="0.2">
      <c r="A22" s="315"/>
      <c r="B22" s="315"/>
      <c r="C22" s="315"/>
    </row>
    <row r="23" spans="1:3" ht="12.75" customHeight="1" x14ac:dyDescent="0.2">
      <c r="A23" s="318" t="s">
        <v>21</v>
      </c>
      <c r="B23" s="318"/>
      <c r="C23" s="318"/>
    </row>
    <row r="24" spans="1:3" s="12" customFormat="1" ht="172.5" customHeight="1" x14ac:dyDescent="0.2">
      <c r="A24" s="317" t="s">
        <v>22</v>
      </c>
      <c r="B24" s="317"/>
      <c r="C24" s="317"/>
    </row>
    <row r="25" spans="1:3" ht="174.75" customHeight="1" x14ac:dyDescent="0.2">
      <c r="A25" s="317" t="s">
        <v>23</v>
      </c>
      <c r="B25" s="317"/>
      <c r="C25" s="317"/>
    </row>
    <row r="26" spans="1:3" x14ac:dyDescent="0.2">
      <c r="A26" s="315"/>
      <c r="B26" s="315"/>
      <c r="C26" s="315"/>
    </row>
    <row r="27" spans="1:3" ht="13.5" customHeight="1" x14ac:dyDescent="0.2">
      <c r="A27" s="318" t="s">
        <v>24</v>
      </c>
      <c r="B27" s="318"/>
      <c r="C27" s="318"/>
    </row>
    <row r="28" spans="1:3" ht="54" customHeight="1" x14ac:dyDescent="0.2">
      <c r="A28" s="317" t="s">
        <v>25</v>
      </c>
      <c r="B28" s="317"/>
      <c r="C28" s="317"/>
    </row>
    <row r="29" spans="1:3" ht="31.5" customHeight="1" x14ac:dyDescent="0.2">
      <c r="A29" s="317" t="s">
        <v>26</v>
      </c>
      <c r="B29" s="317"/>
      <c r="C29" s="317"/>
    </row>
    <row r="30" spans="1:3" ht="55.5" customHeight="1" x14ac:dyDescent="0.2">
      <c r="A30" s="317" t="s">
        <v>27</v>
      </c>
      <c r="B30" s="317"/>
      <c r="C30" s="317"/>
    </row>
    <row r="31" spans="1:3" x14ac:dyDescent="0.2">
      <c r="A31" s="315"/>
      <c r="B31" s="315"/>
      <c r="C31" s="315"/>
    </row>
    <row r="32" spans="1:3" x14ac:dyDescent="0.2">
      <c r="A32" s="316" t="s">
        <v>28</v>
      </c>
      <c r="B32" s="316"/>
      <c r="C32" s="316"/>
    </row>
    <row r="33" spans="1:3" ht="43.5" customHeight="1" x14ac:dyDescent="0.2">
      <c r="A33" s="315" t="s">
        <v>29</v>
      </c>
      <c r="B33" s="315"/>
      <c r="C33" s="315"/>
    </row>
    <row r="35" spans="1:3" x14ac:dyDescent="0.2">
      <c r="A35" s="316" t="s">
        <v>30</v>
      </c>
      <c r="B35" s="316"/>
      <c r="C35" s="316"/>
    </row>
    <row r="36" spans="1:3" ht="54" customHeight="1" x14ac:dyDescent="0.2">
      <c r="A36" s="315" t="s">
        <v>31</v>
      </c>
      <c r="B36" s="315"/>
      <c r="C36" s="315"/>
    </row>
    <row r="37" spans="1:3" x14ac:dyDescent="0.2">
      <c r="A37" s="315"/>
      <c r="B37" s="315"/>
      <c r="C37" s="315"/>
    </row>
    <row r="38" spans="1:3" x14ac:dyDescent="0.2">
      <c r="A38" s="316" t="s">
        <v>32</v>
      </c>
      <c r="B38" s="316"/>
      <c r="C38" s="316"/>
    </row>
    <row r="39" spans="1:3" ht="86.25" customHeight="1" x14ac:dyDescent="0.2">
      <c r="A39" s="315" t="s">
        <v>33</v>
      </c>
      <c r="B39" s="315"/>
      <c r="C39" s="315"/>
    </row>
    <row r="41" spans="1:3" x14ac:dyDescent="0.2">
      <c r="A41" s="316" t="s">
        <v>34</v>
      </c>
      <c r="B41" s="316"/>
      <c r="C41" s="316"/>
    </row>
    <row r="42" spans="1:3" ht="77.25" customHeight="1" x14ac:dyDescent="0.2">
      <c r="A42" s="315" t="s">
        <v>35</v>
      </c>
      <c r="B42" s="315"/>
      <c r="C42" s="315"/>
    </row>
  </sheetData>
  <sheetProtection algorithmName="SHA-512" hashValue="gR6sqEzVi6USPcyBv4MYatj2h358P+JjV7/HQGyxswhAoTF0GJblpXB12N9rYToJoLts19fYgc1dlLUs2BbY+w==" saltValue="s1LWIe31VcwKZah6cg1UNw==" spinCount="100000" sheet="1" objects="1" scenarios="1"/>
  <mergeCells count="35">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6:C36"/>
    <mergeCell ref="A24:C24"/>
    <mergeCell ref="A25:C25"/>
    <mergeCell ref="A26:C26"/>
    <mergeCell ref="A27:C27"/>
    <mergeCell ref="A28:C28"/>
    <mergeCell ref="A29:C29"/>
    <mergeCell ref="A30:C30"/>
    <mergeCell ref="A31:C31"/>
    <mergeCell ref="A32:C32"/>
    <mergeCell ref="A33:C33"/>
    <mergeCell ref="A35:C35"/>
    <mergeCell ref="A37:C37"/>
    <mergeCell ref="A38:C38"/>
    <mergeCell ref="A39:C39"/>
    <mergeCell ref="A41:C41"/>
    <mergeCell ref="A42:C42"/>
  </mergeCells>
  <printOptions horizontalCentered="1"/>
  <pageMargins left="0.7" right="0.7" top="0.75" bottom="0.75" header="0.3" footer="0.3"/>
  <pageSetup scale="83" orientation="portrait" horizontalDpi="4294967295" verticalDpi="4294967295" r:id="rId1"/>
  <headerFooter>
    <oddFooter>&amp;LCity of Santa Monica
Exhibit C1 -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49"/>
  <sheetViews>
    <sheetView showGridLines="0" zoomScale="80" zoomScaleNormal="80" workbookViewId="0">
      <selection activeCell="N1" sqref="N1"/>
    </sheetView>
  </sheetViews>
  <sheetFormatPr defaultColWidth="8.85546875" defaultRowHeight="12.75" outlineLevelRow="1" x14ac:dyDescent="0.2"/>
  <cols>
    <col min="1" max="1" width="33.140625" style="166" customWidth="1"/>
    <col min="2" max="2" width="32.5703125" style="166" customWidth="1"/>
    <col min="3" max="3" width="30.42578125" style="166" customWidth="1"/>
    <col min="4" max="4" width="11.140625" style="166" customWidth="1"/>
    <col min="5" max="5" width="10.85546875" style="166" customWidth="1"/>
    <col min="6" max="6" width="10" style="166" customWidth="1"/>
    <col min="7" max="9" width="14.85546875" style="166" customWidth="1"/>
    <col min="10" max="12" width="14.42578125" style="166" customWidth="1"/>
    <col min="13" max="13" width="13.85546875" style="8" bestFit="1" customWidth="1"/>
    <col min="14" max="14" width="16.7109375" style="7" customWidth="1"/>
    <col min="15" max="16384" width="8.85546875" style="166"/>
  </cols>
  <sheetData>
    <row r="1" spans="1:14" ht="18" x14ac:dyDescent="0.25">
      <c r="A1" s="163" t="s">
        <v>36</v>
      </c>
      <c r="B1" s="164"/>
      <c r="C1" s="165"/>
      <c r="D1" s="165"/>
      <c r="E1" s="165"/>
      <c r="F1" s="165"/>
      <c r="G1" s="165"/>
      <c r="H1" s="165"/>
      <c r="I1" s="165"/>
      <c r="J1" s="165"/>
      <c r="K1" s="165"/>
      <c r="L1" s="165"/>
      <c r="M1" s="19"/>
      <c r="N1" s="18"/>
    </row>
    <row r="2" spans="1:14" ht="18" x14ac:dyDescent="0.2">
      <c r="A2" s="167" t="s">
        <v>37</v>
      </c>
      <c r="B2" s="164"/>
      <c r="C2" s="165"/>
      <c r="D2" s="165"/>
      <c r="E2" s="165"/>
      <c r="F2" s="165"/>
      <c r="G2" s="165"/>
      <c r="H2" s="165"/>
      <c r="I2" s="165"/>
      <c r="J2" s="165"/>
      <c r="K2" s="165"/>
      <c r="L2" s="165"/>
      <c r="M2" s="19"/>
      <c r="N2" s="18"/>
    </row>
    <row r="3" spans="1:14" ht="13.5" thickBot="1" x14ac:dyDescent="0.25">
      <c r="A3" s="164"/>
      <c r="B3" s="164"/>
      <c r="C3" s="165"/>
      <c r="D3" s="165"/>
      <c r="E3" s="165"/>
      <c r="F3" s="165"/>
      <c r="G3" s="165"/>
      <c r="H3" s="165"/>
      <c r="I3" s="165"/>
      <c r="J3" s="165"/>
      <c r="K3" s="165"/>
      <c r="L3" s="165"/>
      <c r="M3" s="19"/>
      <c r="N3" s="18"/>
    </row>
    <row r="4" spans="1:14" ht="13.5" thickBot="1" x14ac:dyDescent="0.25">
      <c r="A4" s="168" t="s">
        <v>38</v>
      </c>
      <c r="B4" s="169"/>
      <c r="C4" s="169"/>
      <c r="D4" s="169"/>
      <c r="E4" s="169"/>
      <c r="F4" s="169"/>
      <c r="G4" s="169"/>
      <c r="H4" s="169"/>
      <c r="I4" s="169"/>
      <c r="J4" s="169"/>
      <c r="K4" s="169"/>
      <c r="L4" s="169"/>
      <c r="M4" s="68"/>
      <c r="N4" s="170"/>
    </row>
    <row r="5" spans="1:14" ht="33.75" x14ac:dyDescent="0.2">
      <c r="A5" s="171"/>
      <c r="B5" s="172"/>
      <c r="C5" s="172"/>
      <c r="D5" s="172"/>
      <c r="E5" s="172"/>
      <c r="F5" s="172"/>
      <c r="G5" s="173" t="s">
        <v>39</v>
      </c>
      <c r="H5" s="173" t="s">
        <v>40</v>
      </c>
      <c r="I5" s="173" t="s">
        <v>41</v>
      </c>
      <c r="J5" s="173" t="s">
        <v>42</v>
      </c>
      <c r="K5" s="173" t="s">
        <v>43</v>
      </c>
      <c r="L5" s="173" t="s">
        <v>44</v>
      </c>
      <c r="M5" s="74" t="s">
        <v>45</v>
      </c>
      <c r="N5" s="75" t="s">
        <v>46</v>
      </c>
    </row>
    <row r="6" spans="1:14" x14ac:dyDescent="0.2">
      <c r="A6" s="174" t="s">
        <v>47</v>
      </c>
      <c r="B6" s="175" t="s">
        <v>48</v>
      </c>
      <c r="C6" s="175"/>
      <c r="D6" s="176" t="str">
        <f>A24</f>
        <v>1A.  Staff Salaries</v>
      </c>
      <c r="G6" s="85">
        <f t="shared" ref="G6:I6" si="0">G56</f>
        <v>510582</v>
      </c>
      <c r="H6" s="85">
        <f t="shared" si="0"/>
        <v>316352</v>
      </c>
      <c r="I6" s="85">
        <f t="shared" si="0"/>
        <v>194230</v>
      </c>
      <c r="J6" s="85">
        <f t="shared" ref="J6:K6" si="1">J56</f>
        <v>157787.82999999999</v>
      </c>
      <c r="K6" s="85">
        <f t="shared" si="1"/>
        <v>155765.54999999999</v>
      </c>
      <c r="L6" s="85">
        <f>L56</f>
        <v>313553.37999999995</v>
      </c>
      <c r="M6" s="16">
        <f t="shared" ref="M6:M13" si="2">IFERROR(L6/H6,"N/A")</f>
        <v>0.99115346196641696</v>
      </c>
      <c r="N6" s="87">
        <f>N56</f>
        <v>505589.11</v>
      </c>
    </row>
    <row r="7" spans="1:14" x14ac:dyDescent="0.2">
      <c r="A7" s="174" t="s">
        <v>49</v>
      </c>
      <c r="B7" s="177" t="s">
        <v>50</v>
      </c>
      <c r="C7" s="177"/>
      <c r="D7" s="176" t="str">
        <f>A58</f>
        <v>1B.  Staff Fringe Benefits</v>
      </c>
      <c r="G7" s="85">
        <f t="shared" ref="G7:I7" si="3">G68</f>
        <v>132853.52299999999</v>
      </c>
      <c r="H7" s="85">
        <f t="shared" si="3"/>
        <v>88563.308799999999</v>
      </c>
      <c r="I7" s="85">
        <f t="shared" si="3"/>
        <v>44290.214200000002</v>
      </c>
      <c r="J7" s="85">
        <f>J68</f>
        <v>39748.79</v>
      </c>
      <c r="K7" s="85">
        <f>K68</f>
        <v>51145.39</v>
      </c>
      <c r="L7" s="85">
        <f>L68</f>
        <v>90894.18</v>
      </c>
      <c r="M7" s="16">
        <f t="shared" si="2"/>
        <v>1.0263187005045593</v>
      </c>
      <c r="N7" s="87">
        <f>N68</f>
        <v>130314.71999999999</v>
      </c>
    </row>
    <row r="8" spans="1:14" x14ac:dyDescent="0.2">
      <c r="A8" s="178"/>
      <c r="D8" s="176" t="str">
        <f>A70</f>
        <v>2.  Consultant Services</v>
      </c>
      <c r="G8" s="85">
        <f t="shared" ref="G8:I8" si="4">G76</f>
        <v>0</v>
      </c>
      <c r="H8" s="85">
        <f t="shared" si="4"/>
        <v>0</v>
      </c>
      <c r="I8" s="85">
        <f t="shared" si="4"/>
        <v>0</v>
      </c>
      <c r="J8" s="85">
        <f>J76</f>
        <v>0</v>
      </c>
      <c r="K8" s="85">
        <f>K76</f>
        <v>0</v>
      </c>
      <c r="L8" s="85">
        <f>L76</f>
        <v>0</v>
      </c>
      <c r="M8" s="16" t="str">
        <f t="shared" si="2"/>
        <v>N/A</v>
      </c>
      <c r="N8" s="87">
        <f>N76</f>
        <v>0</v>
      </c>
    </row>
    <row r="9" spans="1:14" x14ac:dyDescent="0.2">
      <c r="A9" s="178"/>
      <c r="D9" s="176" t="str">
        <f>A78</f>
        <v>3.  Operating Expenses</v>
      </c>
      <c r="G9" s="85">
        <f t="shared" ref="G9:L9" si="5">G94</f>
        <v>57916</v>
      </c>
      <c r="H9" s="85">
        <f t="shared" si="5"/>
        <v>57916</v>
      </c>
      <c r="I9" s="85">
        <f t="shared" si="5"/>
        <v>0</v>
      </c>
      <c r="J9" s="85">
        <f t="shared" si="5"/>
        <v>20783.450000000004</v>
      </c>
      <c r="K9" s="85">
        <f t="shared" si="5"/>
        <v>35050.36</v>
      </c>
      <c r="L9" s="85">
        <f t="shared" si="5"/>
        <v>55833.81</v>
      </c>
      <c r="M9" s="16">
        <f t="shared" si="2"/>
        <v>0.96404810415083908</v>
      </c>
      <c r="N9" s="87">
        <f>N94</f>
        <v>55285.149999999994</v>
      </c>
    </row>
    <row r="10" spans="1:14" x14ac:dyDescent="0.2">
      <c r="A10" s="179" t="s">
        <v>51</v>
      </c>
      <c r="B10" s="180" t="s">
        <v>52</v>
      </c>
      <c r="D10" s="176" t="str">
        <f>A96</f>
        <v>4.  Direct Client Support</v>
      </c>
      <c r="G10" s="85">
        <f>G102</f>
        <v>95586</v>
      </c>
      <c r="H10" s="85">
        <f t="shared" ref="H10:N10" si="6">H102</f>
        <v>95586</v>
      </c>
      <c r="I10" s="85">
        <f t="shared" si="6"/>
        <v>0</v>
      </c>
      <c r="J10" s="85">
        <f t="shared" si="6"/>
        <v>8163.06</v>
      </c>
      <c r="K10" s="85">
        <f t="shared" si="6"/>
        <v>80482.69</v>
      </c>
      <c r="L10" s="85">
        <f t="shared" si="6"/>
        <v>88645.75</v>
      </c>
      <c r="M10" s="16">
        <f t="shared" si="2"/>
        <v>0.92739260979641369</v>
      </c>
      <c r="N10" s="87">
        <f t="shared" si="6"/>
        <v>86751</v>
      </c>
    </row>
    <row r="11" spans="1:14" x14ac:dyDescent="0.2">
      <c r="A11" s="178"/>
      <c r="D11" s="176" t="str">
        <f>A104</f>
        <v>5.  Other</v>
      </c>
      <c r="G11" s="85">
        <f>G110</f>
        <v>0</v>
      </c>
      <c r="H11" s="85">
        <f t="shared" ref="H11:N11" si="7">H110</f>
        <v>0</v>
      </c>
      <c r="I11" s="85">
        <f t="shared" si="7"/>
        <v>0</v>
      </c>
      <c r="J11" s="85">
        <f t="shared" si="7"/>
        <v>0</v>
      </c>
      <c r="K11" s="85">
        <f t="shared" si="7"/>
        <v>0</v>
      </c>
      <c r="L11" s="85">
        <f t="shared" si="7"/>
        <v>0</v>
      </c>
      <c r="M11" s="16" t="str">
        <f t="shared" si="2"/>
        <v>N/A</v>
      </c>
      <c r="N11" s="87">
        <f t="shared" si="7"/>
        <v>0</v>
      </c>
    </row>
    <row r="12" spans="1:14" x14ac:dyDescent="0.2">
      <c r="A12" s="178"/>
      <c r="D12" s="176" t="str">
        <f>A112</f>
        <v>6.  Indirect Administrative Costs</v>
      </c>
      <c r="G12" s="85">
        <f>G119</f>
        <v>89656</v>
      </c>
      <c r="H12" s="85">
        <f t="shared" ref="H12:L12" si="8">H119</f>
        <v>62046</v>
      </c>
      <c r="I12" s="85">
        <f t="shared" si="8"/>
        <v>27610</v>
      </c>
      <c r="J12" s="85">
        <f t="shared" si="8"/>
        <v>22648.31</v>
      </c>
      <c r="K12" s="85">
        <f t="shared" si="8"/>
        <v>39397.440000000002</v>
      </c>
      <c r="L12" s="85">
        <f t="shared" si="8"/>
        <v>62045.75</v>
      </c>
      <c r="M12" s="16">
        <f t="shared" si="2"/>
        <v>0.99999597073139279</v>
      </c>
      <c r="N12" s="87">
        <f>N119</f>
        <v>98613</v>
      </c>
    </row>
    <row r="13" spans="1:14" x14ac:dyDescent="0.2">
      <c r="A13" s="178" t="s">
        <v>53</v>
      </c>
      <c r="B13" s="181">
        <v>620463</v>
      </c>
      <c r="D13" s="182" t="str">
        <f>C121</f>
        <v>7.   TOTAL BUDGET</v>
      </c>
      <c r="E13" s="164"/>
      <c r="F13" s="164"/>
      <c r="G13" s="86">
        <f>G121</f>
        <v>886593.52300000004</v>
      </c>
      <c r="H13" s="86">
        <f t="shared" ref="H13:L13" si="9">H121</f>
        <v>620463.3088</v>
      </c>
      <c r="I13" s="86">
        <f t="shared" si="9"/>
        <v>266130.21419999999</v>
      </c>
      <c r="J13" s="86">
        <f t="shared" si="9"/>
        <v>249131.44</v>
      </c>
      <c r="K13" s="86">
        <f t="shared" si="9"/>
        <v>361841.43</v>
      </c>
      <c r="L13" s="86">
        <f t="shared" si="9"/>
        <v>610972.86999999988</v>
      </c>
      <c r="M13" s="17">
        <f t="shared" si="2"/>
        <v>0.98470427071931943</v>
      </c>
      <c r="N13" s="88">
        <f>N121</f>
        <v>876552.98</v>
      </c>
    </row>
    <row r="14" spans="1:14" x14ac:dyDescent="0.2">
      <c r="A14" s="178" t="s">
        <v>54</v>
      </c>
      <c r="B14" s="101">
        <f>L13</f>
        <v>610972.86999999988</v>
      </c>
      <c r="M14" s="166"/>
      <c r="N14" s="183"/>
    </row>
    <row r="15" spans="1:14" x14ac:dyDescent="0.2">
      <c r="A15" s="178" t="s">
        <v>55</v>
      </c>
      <c r="B15" s="101">
        <f>B13-B14</f>
        <v>9490.1300000001211</v>
      </c>
      <c r="M15" s="166"/>
      <c r="N15" s="183"/>
    </row>
    <row r="16" spans="1:14" x14ac:dyDescent="0.2">
      <c r="A16" s="178"/>
      <c r="M16" s="166"/>
      <c r="N16" s="183"/>
    </row>
    <row r="17" spans="1:14" ht="13.5" thickBot="1" x14ac:dyDescent="0.25">
      <c r="A17" s="184"/>
      <c r="B17" s="185"/>
      <c r="C17" s="186"/>
      <c r="D17" s="185"/>
      <c r="E17" s="185"/>
      <c r="F17" s="185"/>
      <c r="G17" s="186"/>
      <c r="H17" s="186"/>
      <c r="I17" s="186"/>
      <c r="J17" s="186"/>
      <c r="K17" s="186"/>
      <c r="L17" s="186"/>
      <c r="M17" s="186"/>
      <c r="N17" s="187"/>
    </row>
    <row r="18" spans="1:14" ht="13.5" thickBot="1" x14ac:dyDescent="0.25">
      <c r="A18" s="164"/>
      <c r="D18" s="164"/>
      <c r="E18" s="164"/>
      <c r="F18" s="164"/>
      <c r="G18" s="35"/>
      <c r="H18" s="35"/>
      <c r="I18" s="35"/>
      <c r="J18" s="35"/>
      <c r="K18" s="35"/>
      <c r="L18" s="35"/>
      <c r="M18" s="31"/>
      <c r="N18" s="35"/>
    </row>
    <row r="19" spans="1:14" ht="13.5" hidden="1" thickBot="1" x14ac:dyDescent="0.25">
      <c r="A19" s="171" t="s">
        <v>56</v>
      </c>
      <c r="B19" s="172"/>
      <c r="C19" s="172" t="s">
        <v>57</v>
      </c>
      <c r="D19" s="188"/>
      <c r="E19" s="188"/>
      <c r="F19" s="172" t="s">
        <v>58</v>
      </c>
      <c r="G19" s="77"/>
      <c r="H19" s="77"/>
      <c r="I19" s="77"/>
      <c r="J19" s="77"/>
      <c r="K19" s="77"/>
      <c r="L19" s="77"/>
      <c r="M19" s="78"/>
      <c r="N19" s="79"/>
    </row>
    <row r="20" spans="1:14" ht="13.5" hidden="1" thickBot="1" x14ac:dyDescent="0.25">
      <c r="A20" s="178" t="s">
        <v>59</v>
      </c>
      <c r="C20" s="166" t="s">
        <v>60</v>
      </c>
      <c r="D20" s="164"/>
      <c r="E20" s="164"/>
      <c r="F20" s="166" t="s">
        <v>61</v>
      </c>
      <c r="G20" s="35"/>
      <c r="H20" s="35"/>
      <c r="I20" s="35"/>
      <c r="J20" s="35"/>
      <c r="K20" s="35"/>
      <c r="L20" s="35"/>
      <c r="M20" s="31"/>
      <c r="N20" s="80"/>
    </row>
    <row r="21" spans="1:14" ht="13.5" hidden="1" thickBot="1" x14ac:dyDescent="0.25">
      <c r="A21" s="189" t="s">
        <v>52</v>
      </c>
      <c r="B21" s="186"/>
      <c r="C21" s="166" t="s">
        <v>62</v>
      </c>
      <c r="D21" s="186"/>
      <c r="E21" s="186"/>
      <c r="F21" s="186" t="s">
        <v>63</v>
      </c>
      <c r="G21" s="186"/>
      <c r="H21" s="186"/>
      <c r="I21" s="186"/>
      <c r="J21" s="186"/>
      <c r="K21" s="186"/>
      <c r="L21" s="186"/>
      <c r="M21" s="10"/>
      <c r="N21" s="81"/>
    </row>
    <row r="22" spans="1:14" ht="13.5" thickBot="1" x14ac:dyDescent="0.25">
      <c r="A22" s="168" t="s">
        <v>64</v>
      </c>
      <c r="B22" s="169"/>
      <c r="C22" s="169"/>
      <c r="D22" s="169"/>
      <c r="E22" s="169"/>
      <c r="F22" s="169"/>
      <c r="G22" s="169"/>
      <c r="H22" s="169"/>
      <c r="I22" s="169"/>
      <c r="J22" s="169"/>
      <c r="K22" s="169"/>
      <c r="L22" s="169"/>
      <c r="M22" s="68"/>
      <c r="N22" s="170"/>
    </row>
    <row r="23" spans="1:14" ht="13.5" thickBot="1" x14ac:dyDescent="0.25"/>
    <row r="24" spans="1:14" x14ac:dyDescent="0.2">
      <c r="A24" s="190" t="s">
        <v>65</v>
      </c>
      <c r="B24" s="191"/>
      <c r="C24" s="191"/>
      <c r="D24" s="191"/>
      <c r="E24" s="191"/>
      <c r="F24" s="192"/>
      <c r="G24" s="193"/>
      <c r="H24" s="193"/>
      <c r="I24" s="193"/>
      <c r="J24" s="193"/>
      <c r="K24" s="193"/>
      <c r="L24" s="193"/>
      <c r="M24" s="63"/>
      <c r="N24" s="64"/>
    </row>
    <row r="25" spans="1:14" s="198" customFormat="1" ht="11.25" x14ac:dyDescent="0.2">
      <c r="A25" s="194" t="s">
        <v>66</v>
      </c>
      <c r="B25" s="195"/>
      <c r="C25" s="195"/>
      <c r="D25" s="195"/>
      <c r="E25" s="195"/>
      <c r="F25" s="196"/>
      <c r="G25" s="197"/>
      <c r="H25" s="197"/>
      <c r="I25" s="197"/>
      <c r="J25" s="197"/>
      <c r="K25" s="197"/>
      <c r="L25" s="197"/>
      <c r="M25" s="6"/>
      <c r="N25" s="65"/>
    </row>
    <row r="26" spans="1:14" s="198" customFormat="1" ht="33.75" x14ac:dyDescent="0.2">
      <c r="A26" s="199" t="s">
        <v>67</v>
      </c>
      <c r="B26" s="200" t="s">
        <v>68</v>
      </c>
      <c r="C26" s="201" t="s">
        <v>69</v>
      </c>
      <c r="D26" s="201" t="s">
        <v>70</v>
      </c>
      <c r="E26" s="201"/>
      <c r="F26" s="201"/>
      <c r="G26" s="201" t="s">
        <v>39</v>
      </c>
      <c r="H26" s="201" t="s">
        <v>40</v>
      </c>
      <c r="I26" s="201" t="s">
        <v>41</v>
      </c>
      <c r="J26" s="201" t="s">
        <v>42</v>
      </c>
      <c r="K26" s="201" t="s">
        <v>43</v>
      </c>
      <c r="L26" s="201" t="s">
        <v>44</v>
      </c>
      <c r="M26" s="23" t="s">
        <v>45</v>
      </c>
      <c r="N26" s="66" t="s">
        <v>46</v>
      </c>
    </row>
    <row r="27" spans="1:14" ht="13.5" hidden="1" customHeight="1" outlineLevel="1" x14ac:dyDescent="0.2">
      <c r="A27" s="202" t="s">
        <v>97</v>
      </c>
      <c r="B27" s="203" t="s">
        <v>98</v>
      </c>
      <c r="C27" s="204" t="s">
        <v>57</v>
      </c>
      <c r="D27" s="205">
        <v>1</v>
      </c>
      <c r="E27" s="206">
        <v>0.1</v>
      </c>
      <c r="F27" s="207">
        <v>6</v>
      </c>
      <c r="G27" s="147">
        <v>6801</v>
      </c>
      <c r="H27" s="147">
        <v>0</v>
      </c>
      <c r="I27" s="85">
        <f>G27-H27</f>
        <v>6801</v>
      </c>
      <c r="J27" s="208">
        <v>0</v>
      </c>
      <c r="K27" s="208">
        <v>0</v>
      </c>
      <c r="L27" s="209">
        <f>SUM(J27:K27)</f>
        <v>0</v>
      </c>
      <c r="M27" s="16" t="str">
        <f>IFERROR(L27/H27,"N/A")</f>
        <v>N/A</v>
      </c>
      <c r="N27" s="210">
        <v>6801.23</v>
      </c>
    </row>
    <row r="28" spans="1:14" hidden="1" outlineLevel="1" x14ac:dyDescent="0.2">
      <c r="A28" s="202" t="s">
        <v>99</v>
      </c>
      <c r="B28" s="203" t="s">
        <v>100</v>
      </c>
      <c r="C28" s="204" t="s">
        <v>57</v>
      </c>
      <c r="D28" s="205">
        <v>1</v>
      </c>
      <c r="E28" s="206">
        <v>0.1</v>
      </c>
      <c r="F28" s="207">
        <v>6</v>
      </c>
      <c r="G28" s="147">
        <v>5755</v>
      </c>
      <c r="H28" s="147">
        <v>0</v>
      </c>
      <c r="I28" s="89">
        <f>G28-H28</f>
        <v>5755</v>
      </c>
      <c r="J28" s="208">
        <v>0</v>
      </c>
      <c r="K28" s="208">
        <v>0</v>
      </c>
      <c r="L28" s="209">
        <f>SUM(J28:K28)</f>
        <v>0</v>
      </c>
      <c r="M28" s="16" t="str">
        <f>IFERROR(L28/H28,"N/A")</f>
        <v>N/A</v>
      </c>
      <c r="N28" s="210">
        <v>5288.47</v>
      </c>
    </row>
    <row r="29" spans="1:14" collapsed="1" x14ac:dyDescent="0.2">
      <c r="A29" s="202"/>
      <c r="B29" s="203"/>
      <c r="C29" s="204" t="s">
        <v>57</v>
      </c>
      <c r="D29" s="212">
        <f>SUM(D27:D28)</f>
        <v>2</v>
      </c>
      <c r="E29" s="213"/>
      <c r="F29" s="214"/>
      <c r="G29" s="147">
        <f t="shared" ref="G29:L29" si="10">SUM(G27:G28)</f>
        <v>12556</v>
      </c>
      <c r="H29" s="147">
        <f t="shared" si="10"/>
        <v>0</v>
      </c>
      <c r="I29" s="89">
        <f t="shared" si="10"/>
        <v>12556</v>
      </c>
      <c r="J29" s="208">
        <f t="shared" si="10"/>
        <v>0</v>
      </c>
      <c r="K29" s="208">
        <f t="shared" si="10"/>
        <v>0</v>
      </c>
      <c r="L29" s="209">
        <f t="shared" si="10"/>
        <v>0</v>
      </c>
      <c r="M29" s="16" t="str">
        <f t="shared" ref="M29" si="11">IFERROR(L29/H29,"N/A")</f>
        <v>N/A</v>
      </c>
      <c r="N29" s="210">
        <f>SUM(N27:N28)</f>
        <v>12089.7</v>
      </c>
    </row>
    <row r="30" spans="1:14" hidden="1" outlineLevel="1" x14ac:dyDescent="0.2">
      <c r="A30" s="202" t="s">
        <v>71</v>
      </c>
      <c r="B30" s="203" t="s">
        <v>72</v>
      </c>
      <c r="C30" s="204" t="s">
        <v>62</v>
      </c>
      <c r="D30" s="205">
        <v>1</v>
      </c>
      <c r="E30" s="206">
        <v>0.25</v>
      </c>
      <c r="F30" s="207">
        <v>12</v>
      </c>
      <c r="G30" s="147">
        <v>22468</v>
      </c>
      <c r="H30" s="147">
        <v>22468</v>
      </c>
      <c r="I30" s="89">
        <f>G30-H30</f>
        <v>0</v>
      </c>
      <c r="J30" s="208">
        <v>11117.6</v>
      </c>
      <c r="K30" s="208">
        <v>11310.75</v>
      </c>
      <c r="L30" s="209">
        <f>SUM(J30:K30)</f>
        <v>22428.35</v>
      </c>
      <c r="M30" s="16">
        <f>IFERROR(L30/H30,"N/A")</f>
        <v>0.99823526793662087</v>
      </c>
      <c r="N30" s="210">
        <v>22428.35</v>
      </c>
    </row>
    <row r="31" spans="1:14" hidden="1" outlineLevel="1" x14ac:dyDescent="0.2">
      <c r="A31" s="202" t="s">
        <v>73</v>
      </c>
      <c r="B31" s="203" t="s">
        <v>74</v>
      </c>
      <c r="C31" s="204" t="s">
        <v>62</v>
      </c>
      <c r="D31" s="205">
        <v>1</v>
      </c>
      <c r="E31" s="206">
        <v>0.8</v>
      </c>
      <c r="F31" s="207">
        <v>12</v>
      </c>
      <c r="G31" s="147">
        <v>54497</v>
      </c>
      <c r="H31" s="147">
        <v>54497</v>
      </c>
      <c r="I31" s="89">
        <f>G31-H31</f>
        <v>0</v>
      </c>
      <c r="J31" s="208">
        <v>26830.86</v>
      </c>
      <c r="K31" s="208">
        <v>26449.16</v>
      </c>
      <c r="L31" s="209">
        <f>SUM(J31:K31)</f>
        <v>53280.020000000004</v>
      </c>
      <c r="M31" s="16">
        <f>IFERROR(L31/H31,"N/A")</f>
        <v>0.97766886250619311</v>
      </c>
      <c r="N31" s="210">
        <v>53280.020000000004</v>
      </c>
    </row>
    <row r="32" spans="1:14" hidden="1" outlineLevel="1" x14ac:dyDescent="0.2">
      <c r="A32" s="202" t="s">
        <v>75</v>
      </c>
      <c r="B32" s="203" t="s">
        <v>76</v>
      </c>
      <c r="C32" s="204" t="s">
        <v>62</v>
      </c>
      <c r="D32" s="205">
        <v>1</v>
      </c>
      <c r="E32" s="206">
        <v>1</v>
      </c>
      <c r="F32" s="207">
        <v>1</v>
      </c>
      <c r="G32" s="147">
        <v>1426</v>
      </c>
      <c r="H32" s="147">
        <v>1426</v>
      </c>
      <c r="I32" s="89">
        <f>G32-H32</f>
        <v>0</v>
      </c>
      <c r="J32" s="208">
        <v>1426.42</v>
      </c>
      <c r="K32" s="208">
        <v>0</v>
      </c>
      <c r="L32" s="209">
        <f>SUM(J32:K32)</f>
        <v>1426.42</v>
      </c>
      <c r="M32" s="16">
        <f>IFERROR(L32/H32,"N/A")</f>
        <v>1.0002945301542778</v>
      </c>
      <c r="N32" s="210">
        <v>1426.42</v>
      </c>
    </row>
    <row r="33" spans="1:14" hidden="1" outlineLevel="1" x14ac:dyDescent="0.2">
      <c r="A33" s="202" t="s">
        <v>77</v>
      </c>
      <c r="B33" s="203" t="s">
        <v>76</v>
      </c>
      <c r="C33" s="204" t="s">
        <v>62</v>
      </c>
      <c r="D33" s="205">
        <v>1</v>
      </c>
      <c r="E33" s="206">
        <v>1</v>
      </c>
      <c r="F33" s="207">
        <v>1</v>
      </c>
      <c r="G33" s="147">
        <v>548</v>
      </c>
      <c r="H33" s="147">
        <v>548</v>
      </c>
      <c r="I33" s="89">
        <f>G33-H33</f>
        <v>0</v>
      </c>
      <c r="J33" s="208">
        <v>548</v>
      </c>
      <c r="K33" s="208">
        <v>0</v>
      </c>
      <c r="L33" s="209">
        <f>SUM(J33:K33)</f>
        <v>548</v>
      </c>
      <c r="M33" s="16">
        <f>IFERROR(L33/H33,"N/A")</f>
        <v>1</v>
      </c>
      <c r="N33" s="210">
        <v>548</v>
      </c>
    </row>
    <row r="34" spans="1:14" hidden="1" outlineLevel="1" x14ac:dyDescent="0.2">
      <c r="A34" s="202" t="s">
        <v>78</v>
      </c>
      <c r="B34" s="203" t="s">
        <v>76</v>
      </c>
      <c r="C34" s="204" t="s">
        <v>62</v>
      </c>
      <c r="D34" s="205">
        <v>1</v>
      </c>
      <c r="E34" s="206">
        <v>1</v>
      </c>
      <c r="F34" s="207">
        <v>10</v>
      </c>
      <c r="G34" s="147">
        <v>36955</v>
      </c>
      <c r="H34" s="147">
        <v>36955</v>
      </c>
      <c r="I34" s="89">
        <f>G34-H34</f>
        <v>0</v>
      </c>
      <c r="J34" s="208">
        <v>14485.3</v>
      </c>
      <c r="K34" s="208">
        <v>22241.61</v>
      </c>
      <c r="L34" s="209">
        <f>SUM(J34:K34)</f>
        <v>36726.910000000003</v>
      </c>
      <c r="M34" s="16">
        <f>IFERROR(L34/H34,"N/A")</f>
        <v>0.99382789879583289</v>
      </c>
      <c r="N34" s="210">
        <v>36726.910000000003</v>
      </c>
    </row>
    <row r="35" spans="1:14" hidden="1" outlineLevel="1" x14ac:dyDescent="0.2">
      <c r="A35" s="202" t="s">
        <v>79</v>
      </c>
      <c r="B35" s="203" t="s">
        <v>80</v>
      </c>
      <c r="C35" s="204" t="s">
        <v>62</v>
      </c>
      <c r="D35" s="205">
        <v>1</v>
      </c>
      <c r="E35" s="206">
        <v>1</v>
      </c>
      <c r="F35" s="207">
        <v>12</v>
      </c>
      <c r="G35" s="147">
        <v>29881</v>
      </c>
      <c r="H35" s="147">
        <v>29881</v>
      </c>
      <c r="I35" s="89">
        <f>G35-H35</f>
        <v>0</v>
      </c>
      <c r="J35" s="208">
        <v>25608.95</v>
      </c>
      <c r="K35" s="208">
        <v>4272.07</v>
      </c>
      <c r="L35" s="209">
        <f>SUM(J35:K35)</f>
        <v>29881.02</v>
      </c>
      <c r="M35" s="16">
        <f>IFERROR(L35/H35,"N/A")</f>
        <v>1.0000006693216426</v>
      </c>
      <c r="N35" s="210">
        <v>29881.02</v>
      </c>
    </row>
    <row r="36" spans="1:14" hidden="1" outlineLevel="1" x14ac:dyDescent="0.2">
      <c r="A36" s="202" t="s">
        <v>81</v>
      </c>
      <c r="B36" s="203" t="s">
        <v>76</v>
      </c>
      <c r="C36" s="211" t="s">
        <v>62</v>
      </c>
      <c r="D36" s="212">
        <v>1</v>
      </c>
      <c r="E36" s="213">
        <v>1</v>
      </c>
      <c r="F36" s="214">
        <v>1</v>
      </c>
      <c r="G36" s="147">
        <v>3449</v>
      </c>
      <c r="H36" s="147">
        <v>3449</v>
      </c>
      <c r="I36" s="89"/>
      <c r="J36" s="208"/>
      <c r="K36" s="208">
        <v>3585.29</v>
      </c>
      <c r="L36" s="209">
        <f>SUM(J36:K36)</f>
        <v>3585.29</v>
      </c>
      <c r="M36" s="16">
        <f>IFERROR(L36/H36,"N/A")</f>
        <v>1.0395158016816468</v>
      </c>
      <c r="N36" s="210">
        <v>3585.29</v>
      </c>
    </row>
    <row r="37" spans="1:14" hidden="1" outlineLevel="1" x14ac:dyDescent="0.2">
      <c r="A37" s="202" t="s">
        <v>82</v>
      </c>
      <c r="B37" s="203" t="s">
        <v>76</v>
      </c>
      <c r="C37" s="211" t="s">
        <v>62</v>
      </c>
      <c r="D37" s="212">
        <v>1</v>
      </c>
      <c r="E37" s="213">
        <v>1</v>
      </c>
      <c r="F37" s="214">
        <v>12</v>
      </c>
      <c r="G37" s="147">
        <v>43784</v>
      </c>
      <c r="H37" s="147">
        <v>43784</v>
      </c>
      <c r="I37" s="89">
        <f>G37-H37</f>
        <v>0</v>
      </c>
      <c r="J37" s="208">
        <v>22321.53</v>
      </c>
      <c r="K37" s="208">
        <v>21429.200000000001</v>
      </c>
      <c r="L37" s="209">
        <f>SUM(J37:K37)</f>
        <v>43750.729999999996</v>
      </c>
      <c r="M37" s="16">
        <f>IFERROR(L37/H37,"N/A")</f>
        <v>0.99924013338205731</v>
      </c>
      <c r="N37" s="210">
        <v>43750.729999999996</v>
      </c>
    </row>
    <row r="38" spans="1:14" hidden="1" outlineLevel="1" x14ac:dyDescent="0.2">
      <c r="A38" s="202" t="s">
        <v>83</v>
      </c>
      <c r="B38" s="203" t="s">
        <v>76</v>
      </c>
      <c r="C38" s="211" t="s">
        <v>62</v>
      </c>
      <c r="D38" s="212">
        <v>1</v>
      </c>
      <c r="E38" s="213">
        <v>1</v>
      </c>
      <c r="F38" s="214">
        <v>10</v>
      </c>
      <c r="G38" s="147">
        <v>39409</v>
      </c>
      <c r="H38" s="147">
        <v>39409</v>
      </c>
      <c r="I38" s="89">
        <f>G38-H38</f>
        <v>0</v>
      </c>
      <c r="J38" s="208">
        <v>15446.08</v>
      </c>
      <c r="K38" s="208">
        <v>24078.18</v>
      </c>
      <c r="L38" s="209">
        <f>SUM(J38:K38)</f>
        <v>39524.26</v>
      </c>
      <c r="M38" s="16">
        <f>IFERROR(L38/H38,"N/A")</f>
        <v>1.002924712629095</v>
      </c>
      <c r="N38" s="210">
        <v>39524.26</v>
      </c>
    </row>
    <row r="39" spans="1:14" hidden="1" outlineLevel="1" x14ac:dyDescent="0.2">
      <c r="A39" s="202" t="s">
        <v>84</v>
      </c>
      <c r="B39" s="203" t="s">
        <v>80</v>
      </c>
      <c r="C39" s="211" t="s">
        <v>62</v>
      </c>
      <c r="D39" s="212">
        <v>1</v>
      </c>
      <c r="E39" s="213">
        <v>1</v>
      </c>
      <c r="F39" s="214">
        <v>5</v>
      </c>
      <c r="G39" s="147">
        <v>21667</v>
      </c>
      <c r="H39" s="147">
        <v>21667</v>
      </c>
      <c r="I39" s="89">
        <f>G39-H39</f>
        <v>0</v>
      </c>
      <c r="J39" s="208">
        <v>0</v>
      </c>
      <c r="K39" s="208">
        <v>19764.77</v>
      </c>
      <c r="L39" s="209">
        <f>SUM(J39:K39)</f>
        <v>19764.77</v>
      </c>
      <c r="M39" s="16">
        <f>IFERROR(L39/H39,"N/A")</f>
        <v>0.91220611990584766</v>
      </c>
      <c r="N39" s="210">
        <v>19764.77</v>
      </c>
    </row>
    <row r="40" spans="1:14" hidden="1" outlineLevel="1" x14ac:dyDescent="0.2">
      <c r="A40" s="202" t="s">
        <v>85</v>
      </c>
      <c r="B40" s="203" t="s">
        <v>86</v>
      </c>
      <c r="C40" s="211" t="s">
        <v>62</v>
      </c>
      <c r="D40" s="212">
        <v>1</v>
      </c>
      <c r="E40" s="213">
        <v>1</v>
      </c>
      <c r="F40" s="214">
        <v>2</v>
      </c>
      <c r="G40" s="147">
        <v>12602</v>
      </c>
      <c r="H40" s="147">
        <v>12602</v>
      </c>
      <c r="I40" s="89">
        <f>G40-H40</f>
        <v>0</v>
      </c>
      <c r="J40" s="208">
        <v>12601.63</v>
      </c>
      <c r="K40" s="208">
        <v>0</v>
      </c>
      <c r="L40" s="209">
        <f>SUM(J40:K40)</f>
        <v>12601.63</v>
      </c>
      <c r="M40" s="16">
        <f>IFERROR(L40/H40,"N/A")</f>
        <v>0.99997063958101884</v>
      </c>
      <c r="N40" s="210">
        <v>12601.63</v>
      </c>
    </row>
    <row r="41" spans="1:14" hidden="1" outlineLevel="1" x14ac:dyDescent="0.2">
      <c r="A41" s="202" t="s">
        <v>87</v>
      </c>
      <c r="B41" s="203" t="s">
        <v>86</v>
      </c>
      <c r="C41" s="211" t="s">
        <v>62</v>
      </c>
      <c r="D41" s="212">
        <v>1</v>
      </c>
      <c r="E41" s="213">
        <v>1</v>
      </c>
      <c r="F41" s="214">
        <v>0</v>
      </c>
      <c r="G41" s="147">
        <v>0</v>
      </c>
      <c r="H41" s="147">
        <v>0</v>
      </c>
      <c r="I41" s="89">
        <f>G41-H41</f>
        <v>0</v>
      </c>
      <c r="J41" s="208">
        <v>0</v>
      </c>
      <c r="K41" s="208">
        <v>0</v>
      </c>
      <c r="L41" s="209">
        <f>SUM(J41:K41)</f>
        <v>0</v>
      </c>
      <c r="M41" s="16" t="str">
        <f>IFERROR(L41/H41,"N/A")</f>
        <v>N/A</v>
      </c>
      <c r="N41" s="210">
        <v>0</v>
      </c>
    </row>
    <row r="42" spans="1:14" hidden="1" outlineLevel="1" x14ac:dyDescent="0.2">
      <c r="A42" s="202" t="s">
        <v>90</v>
      </c>
      <c r="B42" s="203" t="s">
        <v>91</v>
      </c>
      <c r="C42" s="211" t="s">
        <v>62</v>
      </c>
      <c r="D42" s="212">
        <v>1</v>
      </c>
      <c r="E42" s="213">
        <v>0.2</v>
      </c>
      <c r="F42" s="214">
        <v>12</v>
      </c>
      <c r="G42" s="147">
        <v>6423</v>
      </c>
      <c r="H42" s="147">
        <v>6423</v>
      </c>
      <c r="I42" s="89">
        <f>G42-H42</f>
        <v>0</v>
      </c>
      <c r="J42" s="208">
        <v>4845.9799999999996</v>
      </c>
      <c r="K42" s="208">
        <f>1577.22-75.19</f>
        <v>1502.03</v>
      </c>
      <c r="L42" s="209">
        <f>SUM(J42:K42)</f>
        <v>6348.0099999999993</v>
      </c>
      <c r="M42" s="16">
        <f>IFERROR(L42/H42,"N/A")</f>
        <v>0.9883247703565311</v>
      </c>
      <c r="N42" s="210">
        <v>6348</v>
      </c>
    </row>
    <row r="43" spans="1:14" hidden="1" outlineLevel="1" x14ac:dyDescent="0.2">
      <c r="A43" s="202" t="s">
        <v>92</v>
      </c>
      <c r="B43" s="203" t="s">
        <v>93</v>
      </c>
      <c r="C43" s="211" t="s">
        <v>62</v>
      </c>
      <c r="D43" s="212">
        <v>1</v>
      </c>
      <c r="E43" s="213">
        <v>0.2</v>
      </c>
      <c r="F43" s="214">
        <v>8</v>
      </c>
      <c r="G43" s="147">
        <v>4957</v>
      </c>
      <c r="H43" s="147">
        <v>4957</v>
      </c>
      <c r="I43" s="89">
        <f>G43-H43</f>
        <v>0</v>
      </c>
      <c r="J43" s="208">
        <v>3719.52</v>
      </c>
      <c r="K43" s="208">
        <v>1237.1400000000001</v>
      </c>
      <c r="L43" s="209">
        <f>SUM(J43:K43)</f>
        <v>4956.66</v>
      </c>
      <c r="M43" s="16">
        <f>IFERROR(L43/H43,"N/A")</f>
        <v>0.99993141012709297</v>
      </c>
      <c r="N43" s="210">
        <v>4956.66</v>
      </c>
    </row>
    <row r="44" spans="1:14" hidden="1" outlineLevel="1" x14ac:dyDescent="0.2">
      <c r="A44" s="202" t="s">
        <v>94</v>
      </c>
      <c r="B44" s="203" t="s">
        <v>93</v>
      </c>
      <c r="C44" s="211" t="s">
        <v>62</v>
      </c>
      <c r="D44" s="212">
        <v>1</v>
      </c>
      <c r="E44" s="213">
        <v>0.2</v>
      </c>
      <c r="F44" s="214">
        <v>2</v>
      </c>
      <c r="G44" s="147">
        <v>1248</v>
      </c>
      <c r="H44" s="147">
        <v>1248</v>
      </c>
      <c r="I44" s="89"/>
      <c r="J44" s="208">
        <v>0</v>
      </c>
      <c r="K44" s="208">
        <v>1159.77</v>
      </c>
      <c r="L44" s="209">
        <f>SUM(J44:K44)</f>
        <v>1159.77</v>
      </c>
      <c r="M44" s="16">
        <f>IFERROR(L44/H44,"N/A")</f>
        <v>0.92930288461538457</v>
      </c>
      <c r="N44" s="210">
        <v>1159.77</v>
      </c>
    </row>
    <row r="45" spans="1:14" hidden="1" outlineLevel="1" x14ac:dyDescent="0.2">
      <c r="A45" s="202" t="s">
        <v>101</v>
      </c>
      <c r="B45" s="203" t="s">
        <v>102</v>
      </c>
      <c r="C45" s="211" t="s">
        <v>62</v>
      </c>
      <c r="D45" s="212">
        <v>1</v>
      </c>
      <c r="E45" s="213">
        <v>0.6</v>
      </c>
      <c r="F45" s="214">
        <v>12</v>
      </c>
      <c r="G45" s="147">
        <v>38563</v>
      </c>
      <c r="H45" s="147">
        <v>0</v>
      </c>
      <c r="I45" s="89">
        <f>G45-H45</f>
        <v>38563</v>
      </c>
      <c r="J45" s="208">
        <v>0</v>
      </c>
      <c r="K45" s="208">
        <v>0</v>
      </c>
      <c r="L45" s="209">
        <f>SUM(J45:K45)</f>
        <v>0</v>
      </c>
      <c r="M45" s="16" t="str">
        <f>IFERROR(L45/H45,"N/A")</f>
        <v>N/A</v>
      </c>
      <c r="N45" s="210">
        <v>40859.72</v>
      </c>
    </row>
    <row r="46" spans="1:14" hidden="1" outlineLevel="1" x14ac:dyDescent="0.2">
      <c r="A46" s="202" t="s">
        <v>103</v>
      </c>
      <c r="B46" s="203" t="s">
        <v>102</v>
      </c>
      <c r="C46" s="211" t="s">
        <v>62</v>
      </c>
      <c r="D46" s="212">
        <v>1</v>
      </c>
      <c r="E46" s="213">
        <v>0.6</v>
      </c>
      <c r="F46" s="214">
        <v>12</v>
      </c>
      <c r="G46" s="147">
        <v>38563</v>
      </c>
      <c r="H46" s="147">
        <v>0</v>
      </c>
      <c r="I46" s="89">
        <f>G46-H46</f>
        <v>38563</v>
      </c>
      <c r="J46" s="208">
        <v>0</v>
      </c>
      <c r="K46" s="208">
        <v>0</v>
      </c>
      <c r="L46" s="209">
        <f>SUM(J46:K46)</f>
        <v>0</v>
      </c>
      <c r="M46" s="16" t="str">
        <f>IFERROR(L46/H46,"N/A")</f>
        <v>N/A</v>
      </c>
      <c r="N46" s="210">
        <v>40313.440000000002</v>
      </c>
    </row>
    <row r="47" spans="1:14" hidden="1" outlineLevel="1" x14ac:dyDescent="0.2">
      <c r="A47" s="202" t="s">
        <v>104</v>
      </c>
      <c r="B47" s="203" t="s">
        <v>105</v>
      </c>
      <c r="C47" s="211" t="s">
        <v>62</v>
      </c>
      <c r="D47" s="212">
        <v>1</v>
      </c>
      <c r="E47" s="213">
        <v>0.75</v>
      </c>
      <c r="F47" s="214">
        <v>12</v>
      </c>
      <c r="G47" s="147">
        <v>34755</v>
      </c>
      <c r="H47" s="147">
        <v>0</v>
      </c>
      <c r="I47" s="89">
        <f>G47-H47</f>
        <v>34755</v>
      </c>
      <c r="J47" s="208">
        <v>0</v>
      </c>
      <c r="K47" s="208">
        <v>0</v>
      </c>
      <c r="L47" s="209">
        <f>SUM(J47:K47)</f>
        <v>0</v>
      </c>
      <c r="M47" s="16" t="str">
        <f>IFERROR(L47/H47,"N/A")</f>
        <v>N/A</v>
      </c>
      <c r="N47" s="210">
        <v>38474.839999999997</v>
      </c>
    </row>
    <row r="48" spans="1:14" hidden="1" outlineLevel="1" x14ac:dyDescent="0.2">
      <c r="A48" s="202" t="s">
        <v>106</v>
      </c>
      <c r="B48" s="203" t="s">
        <v>105</v>
      </c>
      <c r="C48" s="211" t="s">
        <v>62</v>
      </c>
      <c r="D48" s="212">
        <v>1</v>
      </c>
      <c r="E48" s="213">
        <v>0.75</v>
      </c>
      <c r="F48" s="214">
        <v>12</v>
      </c>
      <c r="G48" s="147">
        <v>33743</v>
      </c>
      <c r="H48" s="147">
        <v>0</v>
      </c>
      <c r="I48" s="89">
        <f>G48-H48</f>
        <v>33743</v>
      </c>
      <c r="J48" s="208">
        <v>0</v>
      </c>
      <c r="K48" s="208">
        <v>0</v>
      </c>
      <c r="L48" s="209">
        <f>SUM(J48:K48)</f>
        <v>0</v>
      </c>
      <c r="M48" s="16" t="str">
        <f>IFERROR(L48/H48,"N/A")</f>
        <v>N/A</v>
      </c>
      <c r="N48" s="210">
        <v>36000.71</v>
      </c>
    </row>
    <row r="49" spans="1:14" hidden="1" outlineLevel="1" x14ac:dyDescent="0.2">
      <c r="A49" s="202" t="s">
        <v>107</v>
      </c>
      <c r="B49" s="203" t="s">
        <v>108</v>
      </c>
      <c r="C49" s="211" t="s">
        <v>62</v>
      </c>
      <c r="D49" s="212">
        <v>1</v>
      </c>
      <c r="E49" s="213">
        <v>0.5</v>
      </c>
      <c r="F49" s="214">
        <v>12</v>
      </c>
      <c r="G49" s="147">
        <v>36050</v>
      </c>
      <c r="H49" s="147">
        <v>0</v>
      </c>
      <c r="I49" s="89">
        <f>G49-H49</f>
        <v>36050</v>
      </c>
      <c r="J49" s="208">
        <v>0</v>
      </c>
      <c r="K49" s="208">
        <v>0</v>
      </c>
      <c r="L49" s="209">
        <f>SUM(J49:K49)</f>
        <v>0</v>
      </c>
      <c r="M49" s="16" t="str">
        <f>IFERROR(L49/H49,"N/A")</f>
        <v>N/A</v>
      </c>
      <c r="N49" s="210">
        <v>24297.82</v>
      </c>
    </row>
    <row r="50" spans="1:14" collapsed="1" x14ac:dyDescent="0.2">
      <c r="A50" s="202"/>
      <c r="B50" s="203"/>
      <c r="C50" s="211" t="s">
        <v>62</v>
      </c>
      <c r="D50" s="212">
        <f>SUM(D30:D49)</f>
        <v>20</v>
      </c>
      <c r="E50" s="213"/>
      <c r="F50" s="214"/>
      <c r="G50" s="147">
        <f t="shared" ref="G50:L50" si="12">SUM(G30:G49)</f>
        <v>460988</v>
      </c>
      <c r="H50" s="147">
        <f t="shared" si="12"/>
        <v>279314</v>
      </c>
      <c r="I50" s="89">
        <f t="shared" si="12"/>
        <v>181674</v>
      </c>
      <c r="J50" s="208">
        <f t="shared" si="12"/>
        <v>138951.87</v>
      </c>
      <c r="K50" s="208">
        <f t="shared" si="12"/>
        <v>137029.97</v>
      </c>
      <c r="L50" s="209">
        <f t="shared" si="12"/>
        <v>275981.83999999997</v>
      </c>
      <c r="M50" s="16"/>
      <c r="N50" s="210">
        <f>SUM(N30:N49)</f>
        <v>455928.36</v>
      </c>
    </row>
    <row r="51" spans="1:14" hidden="1" outlineLevel="1" x14ac:dyDescent="0.2">
      <c r="A51" s="202" t="s">
        <v>88</v>
      </c>
      <c r="B51" s="203" t="s">
        <v>89</v>
      </c>
      <c r="C51" s="211" t="s">
        <v>60</v>
      </c>
      <c r="D51" s="212">
        <v>1</v>
      </c>
      <c r="E51" s="213">
        <v>0.75</v>
      </c>
      <c r="F51" s="214">
        <v>12</v>
      </c>
      <c r="G51" s="147">
        <v>33828</v>
      </c>
      <c r="H51" s="147">
        <v>33828</v>
      </c>
      <c r="I51" s="89">
        <f>G51-H51</f>
        <v>0</v>
      </c>
      <c r="J51" s="208">
        <v>17251.96</v>
      </c>
      <c r="K51" s="208">
        <v>17203.09</v>
      </c>
      <c r="L51" s="209">
        <f>SUM(J51:K51)</f>
        <v>34455.050000000003</v>
      </c>
      <c r="M51" s="16">
        <f>IFERROR(L51/H51,"N/A")</f>
        <v>1.0185364195341138</v>
      </c>
      <c r="N51" s="210">
        <v>34455.050000000003</v>
      </c>
    </row>
    <row r="52" spans="1:14" hidden="1" outlineLevel="1" x14ac:dyDescent="0.2">
      <c r="A52" s="202" t="s">
        <v>95</v>
      </c>
      <c r="B52" s="203" t="s">
        <v>96</v>
      </c>
      <c r="C52" s="211" t="s">
        <v>60</v>
      </c>
      <c r="D52" s="212">
        <v>1</v>
      </c>
      <c r="E52" s="213">
        <v>0.1</v>
      </c>
      <c r="F52" s="214">
        <v>9</v>
      </c>
      <c r="G52" s="147">
        <v>3210</v>
      </c>
      <c r="H52" s="147">
        <v>3210</v>
      </c>
      <c r="I52" s="89">
        <f>G52-H52</f>
        <v>0</v>
      </c>
      <c r="J52" s="208">
        <v>1584</v>
      </c>
      <c r="K52" s="208">
        <v>1532.49</v>
      </c>
      <c r="L52" s="209">
        <f>SUM(J52:K52)</f>
        <v>3116.49</v>
      </c>
      <c r="M52" s="16">
        <f>IFERROR(L52/H52,"N/A")</f>
        <v>0.97086915887850456</v>
      </c>
      <c r="N52" s="210">
        <v>3116</v>
      </c>
    </row>
    <row r="53" spans="1:14" collapsed="1" x14ac:dyDescent="0.2">
      <c r="A53" s="202"/>
      <c r="B53" s="203"/>
      <c r="C53" s="211" t="s">
        <v>60</v>
      </c>
      <c r="D53" s="212">
        <f>SUM(D51:D52)</f>
        <v>2</v>
      </c>
      <c r="E53" s="213"/>
      <c r="F53" s="214"/>
      <c r="G53" s="147">
        <f t="shared" ref="G53:L53" si="13">SUM(G51:G52)</f>
        <v>37038</v>
      </c>
      <c r="H53" s="147">
        <f t="shared" si="13"/>
        <v>37038</v>
      </c>
      <c r="I53" s="89">
        <f t="shared" si="13"/>
        <v>0</v>
      </c>
      <c r="J53" s="208">
        <f t="shared" si="13"/>
        <v>18835.96</v>
      </c>
      <c r="K53" s="208">
        <f t="shared" si="13"/>
        <v>18735.580000000002</v>
      </c>
      <c r="L53" s="209">
        <f t="shared" si="13"/>
        <v>37571.54</v>
      </c>
      <c r="M53" s="16">
        <f>IFERROR(L53/H53,"N/A")</f>
        <v>1.014405205464658</v>
      </c>
      <c r="N53" s="210">
        <f>SUM(N51:N52)</f>
        <v>37571.050000000003</v>
      </c>
    </row>
    <row r="54" spans="1:14" x14ac:dyDescent="0.2">
      <c r="A54" s="202"/>
      <c r="B54" s="203"/>
      <c r="C54" s="211"/>
      <c r="D54" s="212"/>
      <c r="E54" s="213"/>
      <c r="F54" s="214"/>
      <c r="G54" s="147">
        <v>0</v>
      </c>
      <c r="H54" s="147">
        <v>0</v>
      </c>
      <c r="I54" s="89">
        <f t="shared" ref="I54" si="14">G54-H54</f>
        <v>0</v>
      </c>
      <c r="J54" s="208">
        <v>0</v>
      </c>
      <c r="K54" s="208">
        <v>0</v>
      </c>
      <c r="L54" s="209">
        <f t="shared" ref="L54" si="15">SUM(J54:K54)</f>
        <v>0</v>
      </c>
      <c r="M54" s="16" t="str">
        <f t="shared" ref="M54" si="16">IFERROR(L54/H54,"N/A")</f>
        <v>N/A</v>
      </c>
      <c r="N54" s="210">
        <v>0</v>
      </c>
    </row>
    <row r="55" spans="1:14" x14ac:dyDescent="0.2">
      <c r="A55" s="202"/>
      <c r="B55" s="203"/>
      <c r="C55" s="211"/>
      <c r="D55" s="212"/>
      <c r="E55" s="213"/>
      <c r="F55" s="214"/>
      <c r="G55" s="147">
        <v>0</v>
      </c>
      <c r="H55" s="147">
        <v>0</v>
      </c>
      <c r="I55" s="89">
        <f t="shared" ref="I55" si="17">G55-H55</f>
        <v>0</v>
      </c>
      <c r="J55" s="208">
        <v>0</v>
      </c>
      <c r="K55" s="208">
        <v>0</v>
      </c>
      <c r="L55" s="209">
        <f t="shared" ref="L55" si="18">SUM(J55:K55)</f>
        <v>0</v>
      </c>
      <c r="M55" s="16" t="str">
        <f t="shared" ref="M55" si="19">IFERROR(L55/H55,"N/A")</f>
        <v>N/A</v>
      </c>
      <c r="N55" s="210">
        <f>I55+L55</f>
        <v>0</v>
      </c>
    </row>
    <row r="56" spans="1:14" ht="13.5" thickBot="1" x14ac:dyDescent="0.25">
      <c r="A56" s="215"/>
      <c r="B56" s="216"/>
      <c r="C56" s="217" t="s">
        <v>109</v>
      </c>
      <c r="D56" s="331">
        <f>SUM(D53,D50,D29)</f>
        <v>24</v>
      </c>
      <c r="E56" s="218"/>
      <c r="F56" s="219"/>
      <c r="G56" s="83">
        <f t="shared" ref="G56:L56" si="20">SUM(G53,G50,G29)</f>
        <v>510582</v>
      </c>
      <c r="H56" s="83">
        <f t="shared" si="20"/>
        <v>316352</v>
      </c>
      <c r="I56" s="83">
        <f t="shared" si="20"/>
        <v>194230</v>
      </c>
      <c r="J56" s="83">
        <f t="shared" si="20"/>
        <v>157787.82999999999</v>
      </c>
      <c r="K56" s="83">
        <f t="shared" si="20"/>
        <v>155765.54999999999</v>
      </c>
      <c r="L56" s="83">
        <f t="shared" si="20"/>
        <v>313553.37999999995</v>
      </c>
      <c r="M56" s="67">
        <f t="shared" ref="M56" si="21">IFERROR(L56/H56,"N/A")</f>
        <v>0.99115346196641696</v>
      </c>
      <c r="N56" s="84">
        <f>SUM(N53,N50,N29)</f>
        <v>505589.11</v>
      </c>
    </row>
    <row r="57" spans="1:14" ht="13.5" thickBot="1" x14ac:dyDescent="0.25"/>
    <row r="58" spans="1:14" x14ac:dyDescent="0.2">
      <c r="A58" s="220" t="s">
        <v>110</v>
      </c>
      <c r="B58" s="221"/>
      <c r="C58" s="221"/>
      <c r="D58" s="221"/>
      <c r="E58" s="221"/>
      <c r="F58" s="222"/>
      <c r="G58" s="223"/>
      <c r="H58" s="223"/>
      <c r="I58" s="223"/>
      <c r="J58" s="223"/>
      <c r="K58" s="223"/>
      <c r="L58" s="223"/>
      <c r="M58" s="4"/>
      <c r="N58" s="3"/>
    </row>
    <row r="59" spans="1:14" s="198" customFormat="1" ht="11.25" x14ac:dyDescent="0.2">
      <c r="A59" s="224" t="s">
        <v>111</v>
      </c>
      <c r="B59" s="195"/>
      <c r="C59" s="195"/>
      <c r="D59" s="195"/>
      <c r="E59" s="195"/>
      <c r="F59" s="196"/>
      <c r="G59" s="197"/>
      <c r="H59" s="197"/>
      <c r="I59" s="197"/>
      <c r="J59" s="197"/>
      <c r="K59" s="197"/>
      <c r="L59" s="197"/>
      <c r="M59" s="6"/>
      <c r="N59" s="5"/>
    </row>
    <row r="60" spans="1:14" ht="33.75" x14ac:dyDescent="0.2">
      <c r="A60" s="225" t="s">
        <v>112</v>
      </c>
      <c r="B60" s="226"/>
      <c r="C60" s="227"/>
      <c r="D60" s="227"/>
      <c r="E60" s="227"/>
      <c r="F60" s="227"/>
      <c r="G60" s="201" t="s">
        <v>39</v>
      </c>
      <c r="H60" s="201" t="s">
        <v>40</v>
      </c>
      <c r="I60" s="201" t="s">
        <v>41</v>
      </c>
      <c r="J60" s="201" t="s">
        <v>42</v>
      </c>
      <c r="K60" s="201" t="s">
        <v>43</v>
      </c>
      <c r="L60" s="201" t="s">
        <v>44</v>
      </c>
      <c r="M60" s="23" t="s">
        <v>45</v>
      </c>
      <c r="N60" s="24" t="s">
        <v>46</v>
      </c>
    </row>
    <row r="61" spans="1:14" x14ac:dyDescent="0.2">
      <c r="A61" s="228" t="s">
        <v>113</v>
      </c>
      <c r="B61" s="229"/>
      <c r="C61" s="229"/>
      <c r="D61" s="230"/>
      <c r="E61" s="231"/>
      <c r="F61" s="232"/>
      <c r="G61" s="148">
        <v>39108.523000000001</v>
      </c>
      <c r="H61" s="148">
        <v>24249.928</v>
      </c>
      <c r="I61" s="85">
        <f t="shared" ref="I61" si="22">G61-H61</f>
        <v>14858.595000000001</v>
      </c>
      <c r="J61" s="208">
        <v>11611.95</v>
      </c>
      <c r="K61" s="208">
        <v>11435.97</v>
      </c>
      <c r="L61" s="89">
        <f>SUM(J61:K61)</f>
        <v>23047.919999999998</v>
      </c>
      <c r="M61" s="16">
        <f>IFERROR(L61/H61,"N/A")</f>
        <v>0.95043251262436734</v>
      </c>
      <c r="N61" s="233">
        <f>23047.92+14846.43</f>
        <v>37894.35</v>
      </c>
    </row>
    <row r="62" spans="1:14" x14ac:dyDescent="0.2">
      <c r="A62" s="234" t="s">
        <v>114</v>
      </c>
      <c r="B62" s="229"/>
      <c r="C62" s="149"/>
      <c r="D62" s="230"/>
      <c r="E62" s="231"/>
      <c r="F62" s="232"/>
      <c r="G62" s="148">
        <v>1948</v>
      </c>
      <c r="H62" s="148">
        <v>2100</v>
      </c>
      <c r="I62" s="89">
        <f t="shared" ref="I62:I67" si="23">G62-H62</f>
        <v>-152</v>
      </c>
      <c r="J62" s="208">
        <v>460.28</v>
      </c>
      <c r="K62" s="235">
        <v>2354.13</v>
      </c>
      <c r="L62" s="89">
        <f t="shared" ref="L62:L67" si="24">SUM(J62:K62)</f>
        <v>2814.41</v>
      </c>
      <c r="M62" s="15">
        <f t="shared" ref="M62:M67" si="25">IFERROR(L62/H62,"N/A")</f>
        <v>1.340195238095238</v>
      </c>
      <c r="N62" s="236">
        <f>2814.41+1190</f>
        <v>4004.41</v>
      </c>
    </row>
    <row r="63" spans="1:14" x14ac:dyDescent="0.2">
      <c r="A63" s="234" t="s">
        <v>115</v>
      </c>
      <c r="B63" s="229"/>
      <c r="C63" s="149"/>
      <c r="D63" s="230"/>
      <c r="E63" s="231"/>
      <c r="F63" s="232"/>
      <c r="G63" s="148">
        <v>5940</v>
      </c>
      <c r="H63" s="148">
        <v>4476.3807999999999</v>
      </c>
      <c r="I63" s="89">
        <f t="shared" si="23"/>
        <v>1463.6192000000001</v>
      </c>
      <c r="J63" s="208">
        <v>1590.15</v>
      </c>
      <c r="K63" s="235">
        <v>6879.08</v>
      </c>
      <c r="L63" s="89">
        <f t="shared" si="24"/>
        <v>8469.23</v>
      </c>
      <c r="M63" s="15">
        <f t="shared" si="25"/>
        <v>1.8919815758301886</v>
      </c>
      <c r="N63" s="236">
        <f>8469.23+1649.6</f>
        <v>10118.83</v>
      </c>
    </row>
    <row r="64" spans="1:14" x14ac:dyDescent="0.2">
      <c r="A64" s="234" t="s">
        <v>116</v>
      </c>
      <c r="B64" s="229"/>
      <c r="C64" s="149"/>
      <c r="D64" s="230"/>
      <c r="E64" s="231"/>
      <c r="F64" s="232"/>
      <c r="G64" s="148">
        <v>71910</v>
      </c>
      <c r="H64" s="148">
        <v>47986</v>
      </c>
      <c r="I64" s="89">
        <f t="shared" si="23"/>
        <v>23924</v>
      </c>
      <c r="J64" s="208">
        <v>21857.42</v>
      </c>
      <c r="K64" s="235">
        <v>24867.97</v>
      </c>
      <c r="L64" s="89">
        <f t="shared" si="24"/>
        <v>46725.39</v>
      </c>
      <c r="M64" s="15">
        <f t="shared" si="25"/>
        <v>0.97372962947526365</v>
      </c>
      <c r="N64" s="236">
        <f>46725.39+16396.09</f>
        <v>63121.479999999996</v>
      </c>
    </row>
    <row r="65" spans="1:14" x14ac:dyDescent="0.2">
      <c r="A65" s="234" t="s">
        <v>117</v>
      </c>
      <c r="B65" s="229"/>
      <c r="C65" s="149"/>
      <c r="D65" s="230"/>
      <c r="E65" s="231"/>
      <c r="F65" s="232"/>
      <c r="G65" s="148">
        <v>13947</v>
      </c>
      <c r="H65" s="148">
        <v>9751</v>
      </c>
      <c r="I65" s="89">
        <f t="shared" si="23"/>
        <v>4196</v>
      </c>
      <c r="J65" s="208">
        <v>4228.99</v>
      </c>
      <c r="K65" s="235">
        <v>5608.24</v>
      </c>
      <c r="L65" s="89">
        <f t="shared" si="24"/>
        <v>9837.23</v>
      </c>
      <c r="M65" s="15">
        <f t="shared" si="25"/>
        <v>1.008843195569685</v>
      </c>
      <c r="N65" s="236">
        <f>9837.23+5338.42</f>
        <v>15175.65</v>
      </c>
    </row>
    <row r="66" spans="1:14" x14ac:dyDescent="0.2">
      <c r="A66" s="234"/>
      <c r="B66" s="229"/>
      <c r="C66" s="149"/>
      <c r="D66" s="230"/>
      <c r="E66" s="231"/>
      <c r="F66" s="232"/>
      <c r="G66" s="148">
        <v>0</v>
      </c>
      <c r="H66" s="148">
        <v>0</v>
      </c>
      <c r="I66" s="89">
        <f t="shared" si="23"/>
        <v>0</v>
      </c>
      <c r="J66" s="208">
        <v>0</v>
      </c>
      <c r="K66" s="235">
        <v>0</v>
      </c>
      <c r="L66" s="89">
        <f t="shared" si="24"/>
        <v>0</v>
      </c>
      <c r="M66" s="15" t="str">
        <f t="shared" si="25"/>
        <v>N/A</v>
      </c>
      <c r="N66" s="236">
        <v>0</v>
      </c>
    </row>
    <row r="67" spans="1:14" x14ac:dyDescent="0.2">
      <c r="A67" s="237"/>
      <c r="B67" s="229"/>
      <c r="C67" s="150"/>
      <c r="D67" s="238"/>
      <c r="E67" s="239"/>
      <c r="F67" s="232"/>
      <c r="G67" s="148">
        <v>0</v>
      </c>
      <c r="H67" s="148">
        <v>0</v>
      </c>
      <c r="I67" s="89">
        <f t="shared" si="23"/>
        <v>0</v>
      </c>
      <c r="J67" s="208">
        <v>0</v>
      </c>
      <c r="K67" s="235">
        <v>0</v>
      </c>
      <c r="L67" s="89">
        <f t="shared" si="24"/>
        <v>0</v>
      </c>
      <c r="M67" s="15" t="str">
        <f t="shared" si="25"/>
        <v>N/A</v>
      </c>
      <c r="N67" s="236">
        <v>0</v>
      </c>
    </row>
    <row r="68" spans="1:14" ht="13.5" thickBot="1" x14ac:dyDescent="0.25">
      <c r="A68" s="189"/>
      <c r="B68" s="186"/>
      <c r="C68" s="240" t="s">
        <v>118</v>
      </c>
      <c r="D68" s="241"/>
      <c r="E68" s="241"/>
      <c r="F68" s="242"/>
      <c r="G68" s="90">
        <f t="shared" ref="G68:L68" si="26">SUM(G61:G67)</f>
        <v>132853.52299999999</v>
      </c>
      <c r="H68" s="90">
        <f t="shared" si="26"/>
        <v>88563.308799999999</v>
      </c>
      <c r="I68" s="90">
        <f t="shared" si="26"/>
        <v>44290.214200000002</v>
      </c>
      <c r="J68" s="90">
        <f t="shared" si="26"/>
        <v>39748.79</v>
      </c>
      <c r="K68" s="90">
        <f t="shared" si="26"/>
        <v>51145.39</v>
      </c>
      <c r="L68" s="90">
        <f t="shared" si="26"/>
        <v>90894.18</v>
      </c>
      <c r="M68" s="25">
        <f>IFERROR(L68/H68,"N/A")</f>
        <v>1.0263187005045593</v>
      </c>
      <c r="N68" s="91">
        <f>SUM(N61:N67)</f>
        <v>130314.71999999999</v>
      </c>
    </row>
    <row r="69" spans="1:14" ht="13.5" thickBot="1" x14ac:dyDescent="0.25"/>
    <row r="70" spans="1:14" s="198" customFormat="1" x14ac:dyDescent="0.2">
      <c r="A70" s="220" t="s">
        <v>119</v>
      </c>
      <c r="B70" s="221"/>
      <c r="C70" s="221"/>
      <c r="D70" s="221"/>
      <c r="E70" s="221"/>
      <c r="F70" s="222"/>
      <c r="G70" s="223"/>
      <c r="H70" s="223"/>
      <c r="I70" s="223"/>
      <c r="J70" s="223"/>
      <c r="K70" s="223"/>
      <c r="L70" s="223"/>
      <c r="M70" s="4"/>
      <c r="N70" s="3"/>
    </row>
    <row r="71" spans="1:14" s="198" customFormat="1" ht="11.25" x14ac:dyDescent="0.2">
      <c r="A71" s="224" t="s">
        <v>120</v>
      </c>
      <c r="B71" s="195"/>
      <c r="C71" s="195"/>
      <c r="D71" s="195"/>
      <c r="E71" s="195"/>
      <c r="F71" s="196"/>
      <c r="G71" s="197"/>
      <c r="H71" s="197"/>
      <c r="I71" s="197"/>
      <c r="J71" s="197"/>
      <c r="K71" s="197"/>
      <c r="L71" s="197"/>
      <c r="M71" s="6"/>
      <c r="N71" s="5"/>
    </row>
    <row r="72" spans="1:14" ht="33.75" x14ac:dyDescent="0.2">
      <c r="A72" s="225" t="s">
        <v>112</v>
      </c>
      <c r="B72" s="226"/>
      <c r="C72" s="227"/>
      <c r="D72" s="227"/>
      <c r="E72" s="227"/>
      <c r="F72" s="227"/>
      <c r="G72" s="201" t="s">
        <v>39</v>
      </c>
      <c r="H72" s="201" t="s">
        <v>40</v>
      </c>
      <c r="I72" s="201" t="s">
        <v>41</v>
      </c>
      <c r="J72" s="201" t="s">
        <v>42</v>
      </c>
      <c r="K72" s="201" t="s">
        <v>43</v>
      </c>
      <c r="L72" s="201" t="s">
        <v>44</v>
      </c>
      <c r="M72" s="23" t="s">
        <v>45</v>
      </c>
      <c r="N72" s="24" t="s">
        <v>46</v>
      </c>
    </row>
    <row r="73" spans="1:14" x14ac:dyDescent="0.2">
      <c r="A73" s="243"/>
      <c r="B73" s="244"/>
      <c r="C73" s="151"/>
      <c r="D73" s="245"/>
      <c r="E73" s="246"/>
      <c r="F73" s="232"/>
      <c r="G73" s="147">
        <v>0</v>
      </c>
      <c r="H73" s="147">
        <v>0</v>
      </c>
      <c r="I73" s="85">
        <f>G73-H73</f>
        <v>0</v>
      </c>
      <c r="J73" s="208">
        <v>0</v>
      </c>
      <c r="K73" s="208">
        <v>0</v>
      </c>
      <c r="L73" s="85">
        <f>SUM(J73:K73)</f>
        <v>0</v>
      </c>
      <c r="M73" s="16" t="str">
        <f>IFERROR(L73/H73,"N/A")</f>
        <v>N/A</v>
      </c>
      <c r="N73" s="233">
        <v>0</v>
      </c>
    </row>
    <row r="74" spans="1:14" x14ac:dyDescent="0.2">
      <c r="A74" s="247"/>
      <c r="B74" s="244"/>
      <c r="C74" s="151"/>
      <c r="D74" s="245"/>
      <c r="E74" s="246"/>
      <c r="F74" s="232"/>
      <c r="G74" s="147">
        <v>0</v>
      </c>
      <c r="H74" s="147">
        <v>0</v>
      </c>
      <c r="I74" s="89">
        <f t="shared" ref="I74:I75" si="27">G74-H74</f>
        <v>0</v>
      </c>
      <c r="J74" s="208">
        <v>0</v>
      </c>
      <c r="K74" s="235">
        <v>0</v>
      </c>
      <c r="L74" s="89">
        <f t="shared" ref="L74:L75" si="28">SUM(J74:K74)</f>
        <v>0</v>
      </c>
      <c r="M74" s="15" t="str">
        <f t="shared" ref="M74:M75" si="29">IFERROR(L74/H74,"N/A")</f>
        <v>N/A</v>
      </c>
      <c r="N74" s="236">
        <v>0</v>
      </c>
    </row>
    <row r="75" spans="1:14" x14ac:dyDescent="0.2">
      <c r="A75" s="247"/>
      <c r="B75" s="244"/>
      <c r="C75" s="151"/>
      <c r="D75" s="245"/>
      <c r="E75" s="246"/>
      <c r="F75" s="232"/>
      <c r="G75" s="148">
        <v>0</v>
      </c>
      <c r="H75" s="148">
        <v>0</v>
      </c>
      <c r="I75" s="92">
        <f t="shared" si="27"/>
        <v>0</v>
      </c>
      <c r="J75" s="248">
        <v>0</v>
      </c>
      <c r="K75" s="248">
        <v>0</v>
      </c>
      <c r="L75" s="89">
        <f t="shared" si="28"/>
        <v>0</v>
      </c>
      <c r="M75" s="15" t="str">
        <f t="shared" si="29"/>
        <v>N/A</v>
      </c>
      <c r="N75" s="236">
        <v>0</v>
      </c>
    </row>
    <row r="76" spans="1:14" ht="13.5" thickBot="1" x14ac:dyDescent="0.25">
      <c r="A76" s="189"/>
      <c r="B76" s="186"/>
      <c r="C76" s="240" t="s">
        <v>121</v>
      </c>
      <c r="D76" s="241"/>
      <c r="E76" s="241"/>
      <c r="F76" s="242"/>
      <c r="G76" s="90">
        <f t="shared" ref="G76:L76" si="30">SUM(G73:G75)</f>
        <v>0</v>
      </c>
      <c r="H76" s="90">
        <f t="shared" si="30"/>
        <v>0</v>
      </c>
      <c r="I76" s="90">
        <f t="shared" si="30"/>
        <v>0</v>
      </c>
      <c r="J76" s="90">
        <f t="shared" si="30"/>
        <v>0</v>
      </c>
      <c r="K76" s="90">
        <f t="shared" si="30"/>
        <v>0</v>
      </c>
      <c r="L76" s="90">
        <f t="shared" si="30"/>
        <v>0</v>
      </c>
      <c r="M76" s="25" t="str">
        <f>IFERROR(L76/H76,"N/A")</f>
        <v>N/A</v>
      </c>
      <c r="N76" s="91">
        <f>SUM(N73:N75)</f>
        <v>0</v>
      </c>
    </row>
    <row r="77" spans="1:14" ht="13.5" thickBot="1" x14ac:dyDescent="0.25"/>
    <row r="78" spans="1:14" s="198" customFormat="1" x14ac:dyDescent="0.2">
      <c r="A78" s="249" t="s">
        <v>122</v>
      </c>
      <c r="B78" s="221"/>
      <c r="C78" s="221"/>
      <c r="D78" s="221"/>
      <c r="E78" s="221"/>
      <c r="F78" s="222"/>
      <c r="G78" s="223"/>
      <c r="H78" s="223"/>
      <c r="I78" s="223"/>
      <c r="J78" s="223"/>
      <c r="K78" s="223"/>
      <c r="L78" s="223"/>
      <c r="M78" s="4"/>
      <c r="N78" s="3"/>
    </row>
    <row r="79" spans="1:14" x14ac:dyDescent="0.2">
      <c r="A79" s="224" t="s">
        <v>123</v>
      </c>
      <c r="B79" s="195"/>
      <c r="C79" s="195"/>
      <c r="D79" s="195"/>
      <c r="E79" s="195"/>
      <c r="F79" s="196"/>
      <c r="G79" s="197"/>
      <c r="H79" s="197"/>
      <c r="I79" s="197"/>
      <c r="J79" s="197"/>
      <c r="K79" s="197"/>
      <c r="L79" s="197"/>
      <c r="M79" s="6"/>
      <c r="N79" s="5"/>
    </row>
    <row r="80" spans="1:14" ht="33.75" x14ac:dyDescent="0.2">
      <c r="A80" s="225" t="s">
        <v>112</v>
      </c>
      <c r="B80" s="226"/>
      <c r="C80" s="227"/>
      <c r="D80" s="227"/>
      <c r="E80" s="227"/>
      <c r="F80" s="227"/>
      <c r="G80" s="201" t="s">
        <v>39</v>
      </c>
      <c r="H80" s="201" t="s">
        <v>40</v>
      </c>
      <c r="I80" s="201" t="s">
        <v>41</v>
      </c>
      <c r="J80" s="201" t="s">
        <v>42</v>
      </c>
      <c r="K80" s="201" t="s">
        <v>43</v>
      </c>
      <c r="L80" s="201" t="s">
        <v>44</v>
      </c>
      <c r="M80" s="23" t="s">
        <v>45</v>
      </c>
      <c r="N80" s="24" t="s">
        <v>46</v>
      </c>
    </row>
    <row r="81" spans="1:14" x14ac:dyDescent="0.2">
      <c r="A81" s="243" t="s">
        <v>124</v>
      </c>
      <c r="B81" s="244"/>
      <c r="C81" s="151"/>
      <c r="D81" s="245"/>
      <c r="E81" s="246"/>
      <c r="F81" s="232"/>
      <c r="G81" s="148">
        <v>698</v>
      </c>
      <c r="H81" s="147">
        <v>698</v>
      </c>
      <c r="I81" s="85">
        <f t="shared" ref="I81:I93" si="31">G81-H81</f>
        <v>0</v>
      </c>
      <c r="J81" s="208">
        <v>365.63</v>
      </c>
      <c r="K81" s="208">
        <v>507.44</v>
      </c>
      <c r="L81" s="157">
        <f>SUM(J81:K81)</f>
        <v>873.06999999999994</v>
      </c>
      <c r="M81" s="16">
        <f>IFERROR(L81/H81,"N/A")</f>
        <v>1.2508166189111747</v>
      </c>
      <c r="N81" s="233">
        <v>873.06999999999994</v>
      </c>
    </row>
    <row r="82" spans="1:14" x14ac:dyDescent="0.2">
      <c r="A82" s="247" t="s">
        <v>125</v>
      </c>
      <c r="B82" s="244"/>
      <c r="C82" s="151"/>
      <c r="D82" s="245"/>
      <c r="E82" s="246"/>
      <c r="F82" s="232"/>
      <c r="G82" s="148">
        <v>15</v>
      </c>
      <c r="H82" s="147">
        <v>15</v>
      </c>
      <c r="I82" s="89">
        <f t="shared" si="31"/>
        <v>0</v>
      </c>
      <c r="J82" s="208">
        <v>0</v>
      </c>
      <c r="K82" s="235">
        <f>204.7</f>
        <v>204.7</v>
      </c>
      <c r="L82" s="158">
        <f>SUM(J82:K82)</f>
        <v>204.7</v>
      </c>
      <c r="M82" s="15">
        <f>IFERROR(L82/H82,"N/A")</f>
        <v>13.646666666666667</v>
      </c>
      <c r="N82" s="236">
        <v>204.7</v>
      </c>
    </row>
    <row r="83" spans="1:14" x14ac:dyDescent="0.2">
      <c r="A83" s="247" t="s">
        <v>126</v>
      </c>
      <c r="B83" s="244"/>
      <c r="C83" s="151"/>
      <c r="D83" s="245"/>
      <c r="E83" s="246"/>
      <c r="F83" s="232"/>
      <c r="G83" s="148">
        <v>3412</v>
      </c>
      <c r="H83" s="147">
        <v>3412</v>
      </c>
      <c r="I83" s="85">
        <f t="shared" si="31"/>
        <v>0</v>
      </c>
      <c r="J83" s="208">
        <v>1835.76</v>
      </c>
      <c r="K83" s="208">
        <v>2134.9</v>
      </c>
      <c r="L83" s="157">
        <f t="shared" ref="L83:L93" si="32">SUM(J83:K83)</f>
        <v>3970.66</v>
      </c>
      <c r="M83" s="16">
        <f t="shared" ref="M83:M93" si="33">IFERROR(L83/H83,"N/A")</f>
        <v>1.1637338804220398</v>
      </c>
      <c r="N83" s="233">
        <v>3517.21</v>
      </c>
    </row>
    <row r="84" spans="1:14" x14ac:dyDescent="0.2">
      <c r="A84" s="247" t="s">
        <v>127</v>
      </c>
      <c r="B84" s="244"/>
      <c r="C84" s="151"/>
      <c r="D84" s="245"/>
      <c r="E84" s="246"/>
      <c r="F84" s="232"/>
      <c r="G84" s="148">
        <v>1102</v>
      </c>
      <c r="H84" s="147">
        <v>1102</v>
      </c>
      <c r="I84" s="85">
        <f t="shared" si="31"/>
        <v>0</v>
      </c>
      <c r="J84" s="208">
        <v>532.42999999999995</v>
      </c>
      <c r="K84" s="208">
        <f>589.69-2.97</f>
        <v>586.72</v>
      </c>
      <c r="L84" s="157">
        <f t="shared" si="32"/>
        <v>1119.1500000000001</v>
      </c>
      <c r="M84" s="16">
        <f t="shared" si="33"/>
        <v>1.0155626134301272</v>
      </c>
      <c r="N84" s="233">
        <v>1122.1199999999999</v>
      </c>
    </row>
    <row r="85" spans="1:14" x14ac:dyDescent="0.2">
      <c r="A85" s="247" t="s">
        <v>128</v>
      </c>
      <c r="B85" s="244"/>
      <c r="C85" s="151"/>
      <c r="D85" s="245"/>
      <c r="E85" s="246"/>
      <c r="F85" s="232"/>
      <c r="G85" s="148">
        <v>979</v>
      </c>
      <c r="H85" s="147">
        <v>979</v>
      </c>
      <c r="I85" s="85">
        <f t="shared" si="31"/>
        <v>0</v>
      </c>
      <c r="J85" s="208">
        <v>430.46</v>
      </c>
      <c r="K85" s="208">
        <v>688.41</v>
      </c>
      <c r="L85" s="157">
        <f t="shared" si="32"/>
        <v>1118.8699999999999</v>
      </c>
      <c r="M85" s="16">
        <f t="shared" si="33"/>
        <v>1.142870275791624</v>
      </c>
      <c r="N85" s="233">
        <v>1111.5</v>
      </c>
    </row>
    <row r="86" spans="1:14" x14ac:dyDescent="0.2">
      <c r="A86" s="247" t="s">
        <v>129</v>
      </c>
      <c r="B86" s="244"/>
      <c r="C86" s="151"/>
      <c r="D86" s="245"/>
      <c r="E86" s="246"/>
      <c r="F86" s="232"/>
      <c r="G86" s="148">
        <v>2294</v>
      </c>
      <c r="H86" s="148">
        <v>2294</v>
      </c>
      <c r="I86" s="92">
        <f t="shared" si="31"/>
        <v>0</v>
      </c>
      <c r="J86" s="248">
        <v>1225.3900000000001</v>
      </c>
      <c r="K86" s="248">
        <v>776.46</v>
      </c>
      <c r="L86" s="158">
        <f t="shared" si="32"/>
        <v>2001.8500000000001</v>
      </c>
      <c r="M86" s="15">
        <f t="shared" si="33"/>
        <v>0.87264603312990419</v>
      </c>
      <c r="N86" s="236">
        <v>1998.4900000000002</v>
      </c>
    </row>
    <row r="87" spans="1:14" x14ac:dyDescent="0.2">
      <c r="A87" s="247" t="s">
        <v>130</v>
      </c>
      <c r="B87" s="244"/>
      <c r="C87" s="151"/>
      <c r="D87" s="245"/>
      <c r="E87" s="246"/>
      <c r="F87" s="232"/>
      <c r="G87" s="148">
        <v>24267</v>
      </c>
      <c r="H87" s="148">
        <v>24267</v>
      </c>
      <c r="I87" s="92">
        <f t="shared" si="31"/>
        <v>0</v>
      </c>
      <c r="J87" s="248">
        <v>12644.27</v>
      </c>
      <c r="K87" s="248">
        <f>12328.73+5.5</f>
        <v>12334.23</v>
      </c>
      <c r="L87" s="158">
        <f t="shared" si="32"/>
        <v>24978.5</v>
      </c>
      <c r="M87" s="15">
        <f t="shared" si="33"/>
        <v>1.0293196522025796</v>
      </c>
      <c r="N87" s="236">
        <v>24953.47</v>
      </c>
    </row>
    <row r="88" spans="1:14" x14ac:dyDescent="0.2">
      <c r="A88" s="247" t="s">
        <v>131</v>
      </c>
      <c r="B88" s="244"/>
      <c r="C88" s="151"/>
      <c r="D88" s="245"/>
      <c r="E88" s="246"/>
      <c r="F88" s="232"/>
      <c r="G88" s="148">
        <v>2174</v>
      </c>
      <c r="H88" s="148">
        <v>2174</v>
      </c>
      <c r="I88" s="92">
        <f t="shared" si="31"/>
        <v>0</v>
      </c>
      <c r="J88" s="248">
        <v>1388.68</v>
      </c>
      <c r="K88" s="248">
        <f>454.27+0.14</f>
        <v>454.40999999999997</v>
      </c>
      <c r="L88" s="158">
        <f t="shared" si="32"/>
        <v>1843.0900000000001</v>
      </c>
      <c r="M88" s="15">
        <f t="shared" si="33"/>
        <v>0.84778748850046004</v>
      </c>
      <c r="N88" s="236">
        <v>1780.67</v>
      </c>
    </row>
    <row r="89" spans="1:14" x14ac:dyDescent="0.2">
      <c r="A89" s="247" t="s">
        <v>132</v>
      </c>
      <c r="B89" s="244"/>
      <c r="C89" s="151"/>
      <c r="D89" s="245"/>
      <c r="E89" s="246"/>
      <c r="F89" s="232"/>
      <c r="G89" s="148">
        <v>4662</v>
      </c>
      <c r="H89" s="148">
        <v>4662</v>
      </c>
      <c r="I89" s="92">
        <f t="shared" si="31"/>
        <v>0</v>
      </c>
      <c r="J89" s="248">
        <v>2300.83</v>
      </c>
      <c r="K89" s="248">
        <v>2349.6999999999998</v>
      </c>
      <c r="L89" s="158">
        <f t="shared" si="32"/>
        <v>4650.53</v>
      </c>
      <c r="M89" s="15">
        <f t="shared" si="33"/>
        <v>0.9975396825396825</v>
      </c>
      <c r="N89" s="236">
        <v>4650.53</v>
      </c>
    </row>
    <row r="90" spans="1:14" x14ac:dyDescent="0.2">
      <c r="A90" s="247" t="s">
        <v>133</v>
      </c>
      <c r="B90" s="244"/>
      <c r="C90" s="151"/>
      <c r="D90" s="245"/>
      <c r="E90" s="246"/>
      <c r="F90" s="232"/>
      <c r="G90" s="148">
        <v>18313</v>
      </c>
      <c r="H90" s="148">
        <v>18313</v>
      </c>
      <c r="I90" s="92">
        <f t="shared" si="31"/>
        <v>0</v>
      </c>
      <c r="J90" s="248">
        <v>60</v>
      </c>
      <c r="K90" s="248">
        <v>15013.39</v>
      </c>
      <c r="L90" s="158">
        <f t="shared" si="32"/>
        <v>15073.39</v>
      </c>
      <c r="M90" s="15">
        <f t="shared" si="33"/>
        <v>0.82309779937749139</v>
      </c>
      <c r="N90" s="236">
        <v>15073.39</v>
      </c>
    </row>
    <row r="91" spans="1:14" x14ac:dyDescent="0.2">
      <c r="A91" s="247" t="s">
        <v>134</v>
      </c>
      <c r="B91" s="244"/>
      <c r="C91" s="151"/>
      <c r="D91" s="245"/>
      <c r="E91" s="246"/>
      <c r="F91" s="232"/>
      <c r="G91" s="148">
        <v>0</v>
      </c>
      <c r="H91" s="148">
        <v>0</v>
      </c>
      <c r="I91" s="92">
        <f t="shared" si="31"/>
        <v>0</v>
      </c>
      <c r="J91" s="248">
        <v>0</v>
      </c>
      <c r="K91" s="248">
        <v>0</v>
      </c>
      <c r="L91" s="89">
        <f t="shared" si="32"/>
        <v>0</v>
      </c>
      <c r="M91" s="15" t="str">
        <f t="shared" si="33"/>
        <v>N/A</v>
      </c>
      <c r="N91" s="236">
        <v>0</v>
      </c>
    </row>
    <row r="92" spans="1:14" x14ac:dyDescent="0.2">
      <c r="A92" s="247"/>
      <c r="B92" s="244"/>
      <c r="C92" s="151"/>
      <c r="D92" s="245"/>
      <c r="E92" s="246"/>
      <c r="F92" s="232"/>
      <c r="G92" s="148">
        <v>0</v>
      </c>
      <c r="H92" s="147">
        <v>0</v>
      </c>
      <c r="I92" s="85">
        <f t="shared" si="31"/>
        <v>0</v>
      </c>
      <c r="J92" s="208">
        <v>0</v>
      </c>
      <c r="K92" s="208">
        <v>0</v>
      </c>
      <c r="L92" s="85">
        <f t="shared" si="32"/>
        <v>0</v>
      </c>
      <c r="M92" s="16" t="str">
        <f t="shared" si="33"/>
        <v>N/A</v>
      </c>
      <c r="N92" s="233">
        <v>0</v>
      </c>
    </row>
    <row r="93" spans="1:14" x14ac:dyDescent="0.2">
      <c r="A93" s="247"/>
      <c r="B93" s="244"/>
      <c r="C93" s="151"/>
      <c r="D93" s="245"/>
      <c r="E93" s="246"/>
      <c r="F93" s="232"/>
      <c r="G93" s="148">
        <v>0</v>
      </c>
      <c r="H93" s="147">
        <v>0</v>
      </c>
      <c r="I93" s="89">
        <f t="shared" si="31"/>
        <v>0</v>
      </c>
      <c r="J93" s="208">
        <v>0</v>
      </c>
      <c r="K93" s="235">
        <v>0</v>
      </c>
      <c r="L93" s="89">
        <f t="shared" si="32"/>
        <v>0</v>
      </c>
      <c r="M93" s="15" t="str">
        <f t="shared" si="33"/>
        <v>N/A</v>
      </c>
      <c r="N93" s="236">
        <v>0</v>
      </c>
    </row>
    <row r="94" spans="1:14" ht="13.5" thickBot="1" x14ac:dyDescent="0.25">
      <c r="A94" s="189"/>
      <c r="B94" s="186"/>
      <c r="C94" s="240" t="s">
        <v>135</v>
      </c>
      <c r="D94" s="241"/>
      <c r="E94" s="241"/>
      <c r="F94" s="242"/>
      <c r="G94" s="90">
        <f t="shared" ref="G94:L94" si="34">SUM(G81:G93)</f>
        <v>57916</v>
      </c>
      <c r="H94" s="90">
        <f t="shared" si="34"/>
        <v>57916</v>
      </c>
      <c r="I94" s="90">
        <f t="shared" si="34"/>
        <v>0</v>
      </c>
      <c r="J94" s="90">
        <f t="shared" si="34"/>
        <v>20783.450000000004</v>
      </c>
      <c r="K94" s="90">
        <f t="shared" si="34"/>
        <v>35050.36</v>
      </c>
      <c r="L94" s="90">
        <f t="shared" si="34"/>
        <v>55833.81</v>
      </c>
      <c r="M94" s="25">
        <f>IFERROR(L94/H94,"N/A")</f>
        <v>0.96404810415083908</v>
      </c>
      <c r="N94" s="91">
        <f>SUM(N81:N93)</f>
        <v>55285.149999999994</v>
      </c>
    </row>
    <row r="95" spans="1:14" ht="13.5" thickBot="1" x14ac:dyDescent="0.25"/>
    <row r="96" spans="1:14" s="198" customFormat="1" x14ac:dyDescent="0.2">
      <c r="A96" s="220" t="s">
        <v>136</v>
      </c>
      <c r="B96" s="221"/>
      <c r="C96" s="221"/>
      <c r="D96" s="221"/>
      <c r="E96" s="221"/>
      <c r="F96" s="222"/>
      <c r="G96" s="223"/>
      <c r="H96" s="223"/>
      <c r="I96" s="223"/>
      <c r="J96" s="223"/>
      <c r="K96" s="223"/>
      <c r="L96" s="223"/>
      <c r="M96" s="4"/>
      <c r="N96" s="3"/>
    </row>
    <row r="97" spans="1:14" x14ac:dyDescent="0.2">
      <c r="A97" s="224" t="s">
        <v>137</v>
      </c>
      <c r="B97" s="195"/>
      <c r="C97" s="195"/>
      <c r="D97" s="195"/>
      <c r="E97" s="195"/>
      <c r="F97" s="196"/>
      <c r="G97" s="197"/>
      <c r="H97" s="197"/>
      <c r="I97" s="197"/>
      <c r="J97" s="197"/>
      <c r="K97" s="197"/>
      <c r="L97" s="197"/>
      <c r="M97" s="6"/>
      <c r="N97" s="5"/>
    </row>
    <row r="98" spans="1:14" ht="33.75" x14ac:dyDescent="0.2">
      <c r="A98" s="225" t="s">
        <v>112</v>
      </c>
      <c r="B98" s="226"/>
      <c r="C98" s="227"/>
      <c r="D98" s="227"/>
      <c r="E98" s="227"/>
      <c r="F98" s="227"/>
      <c r="G98" s="201" t="s">
        <v>39</v>
      </c>
      <c r="H98" s="201" t="s">
        <v>40</v>
      </c>
      <c r="I98" s="201" t="s">
        <v>41</v>
      </c>
      <c r="J98" s="201" t="s">
        <v>42</v>
      </c>
      <c r="K98" s="201" t="s">
        <v>43</v>
      </c>
      <c r="L98" s="201" t="s">
        <v>44</v>
      </c>
      <c r="M98" s="23" t="s">
        <v>45</v>
      </c>
      <c r="N98" s="24" t="s">
        <v>46</v>
      </c>
    </row>
    <row r="99" spans="1:14" x14ac:dyDescent="0.2">
      <c r="A99" s="243" t="s">
        <v>138</v>
      </c>
      <c r="B99" s="244"/>
      <c r="C99" s="151"/>
      <c r="D99" s="245"/>
      <c r="E99" s="246"/>
      <c r="F99" s="232"/>
      <c r="G99" s="147">
        <v>95586</v>
      </c>
      <c r="H99" s="147">
        <v>95586</v>
      </c>
      <c r="I99" s="85">
        <f t="shared" ref="I99:I101" si="35">G99-H99</f>
        <v>0</v>
      </c>
      <c r="J99" s="208">
        <v>8163.06</v>
      </c>
      <c r="K99" s="208">
        <f>78587.69+1895</f>
        <v>80482.69</v>
      </c>
      <c r="L99" s="85">
        <f>SUM(J99:K99)</f>
        <v>88645.75</v>
      </c>
      <c r="M99" s="16">
        <f>IFERROR(L99/H99,"N/A")</f>
        <v>0.92739260979641369</v>
      </c>
      <c r="N99" s="233">
        <v>86751</v>
      </c>
    </row>
    <row r="100" spans="1:14" x14ac:dyDescent="0.2">
      <c r="A100" s="247"/>
      <c r="B100" s="244"/>
      <c r="C100" s="151"/>
      <c r="D100" s="245"/>
      <c r="E100" s="246"/>
      <c r="F100" s="232"/>
      <c r="G100" s="147">
        <v>0</v>
      </c>
      <c r="H100" s="147">
        <v>0</v>
      </c>
      <c r="I100" s="85">
        <f t="shared" si="35"/>
        <v>0</v>
      </c>
      <c r="J100" s="208">
        <v>0</v>
      </c>
      <c r="K100" s="208">
        <v>0</v>
      </c>
      <c r="L100" s="85">
        <f t="shared" ref="L100:L101" si="36">SUM(J100:K100)</f>
        <v>0</v>
      </c>
      <c r="M100" s="16" t="str">
        <f t="shared" ref="M100:M101" si="37">IFERROR(L100/H100,"N/A")</f>
        <v>N/A</v>
      </c>
      <c r="N100" s="233">
        <v>0</v>
      </c>
    </row>
    <row r="101" spans="1:14" x14ac:dyDescent="0.2">
      <c r="A101" s="247"/>
      <c r="B101" s="244"/>
      <c r="C101" s="151"/>
      <c r="D101" s="245"/>
      <c r="E101" s="246"/>
      <c r="F101" s="232"/>
      <c r="G101" s="147">
        <v>0</v>
      </c>
      <c r="H101" s="147">
        <v>0</v>
      </c>
      <c r="I101" s="85">
        <f t="shared" si="35"/>
        <v>0</v>
      </c>
      <c r="J101" s="208">
        <v>0</v>
      </c>
      <c r="K101" s="208">
        <v>0</v>
      </c>
      <c r="L101" s="85">
        <f t="shared" si="36"/>
        <v>0</v>
      </c>
      <c r="M101" s="16" t="str">
        <f t="shared" si="37"/>
        <v>N/A</v>
      </c>
      <c r="N101" s="233">
        <v>0</v>
      </c>
    </row>
    <row r="102" spans="1:14" ht="13.5" thickBot="1" x14ac:dyDescent="0.25">
      <c r="A102" s="189"/>
      <c r="B102" s="186"/>
      <c r="C102" s="240" t="s">
        <v>139</v>
      </c>
      <c r="D102" s="241"/>
      <c r="E102" s="241"/>
      <c r="F102" s="242"/>
      <c r="G102" s="90">
        <f t="shared" ref="G102:L102" si="38">SUM(G99:G101)</f>
        <v>95586</v>
      </c>
      <c r="H102" s="90">
        <f t="shared" si="38"/>
        <v>95586</v>
      </c>
      <c r="I102" s="90">
        <f t="shared" si="38"/>
        <v>0</v>
      </c>
      <c r="J102" s="90">
        <f t="shared" si="38"/>
        <v>8163.06</v>
      </c>
      <c r="K102" s="90">
        <f t="shared" si="38"/>
        <v>80482.69</v>
      </c>
      <c r="L102" s="90">
        <f t="shared" si="38"/>
        <v>88645.75</v>
      </c>
      <c r="M102" s="25">
        <f>IFERROR(L102/H102,"N/A")</f>
        <v>0.92739260979641369</v>
      </c>
      <c r="N102" s="91">
        <f>SUM(N99:N101)</f>
        <v>86751</v>
      </c>
    </row>
    <row r="103" spans="1:14" ht="13.5" thickBot="1" x14ac:dyDescent="0.25"/>
    <row r="104" spans="1:14" s="198" customFormat="1" x14ac:dyDescent="0.2">
      <c r="A104" s="220" t="s">
        <v>140</v>
      </c>
      <c r="B104" s="221"/>
      <c r="C104" s="221"/>
      <c r="D104" s="221"/>
      <c r="E104" s="221"/>
      <c r="F104" s="222"/>
      <c r="G104" s="223"/>
      <c r="H104" s="223"/>
      <c r="I104" s="223"/>
      <c r="J104" s="223"/>
      <c r="K104" s="223"/>
      <c r="L104" s="223"/>
      <c r="M104" s="4"/>
      <c r="N104" s="3"/>
    </row>
    <row r="105" spans="1:14" x14ac:dyDescent="0.2">
      <c r="A105" s="224" t="s">
        <v>141</v>
      </c>
      <c r="B105" s="195"/>
      <c r="C105" s="195"/>
      <c r="D105" s="195"/>
      <c r="E105" s="195"/>
      <c r="F105" s="196"/>
      <c r="G105" s="197"/>
      <c r="H105" s="197"/>
      <c r="I105" s="197"/>
      <c r="J105" s="197"/>
      <c r="K105" s="197"/>
      <c r="L105" s="197"/>
      <c r="M105" s="6"/>
      <c r="N105" s="5"/>
    </row>
    <row r="106" spans="1:14" ht="33.75" x14ac:dyDescent="0.2">
      <c r="A106" s="225" t="s">
        <v>112</v>
      </c>
      <c r="B106" s="226"/>
      <c r="C106" s="227"/>
      <c r="D106" s="227"/>
      <c r="E106" s="227"/>
      <c r="F106" s="227"/>
      <c r="G106" s="201" t="s">
        <v>39</v>
      </c>
      <c r="H106" s="201" t="s">
        <v>40</v>
      </c>
      <c r="I106" s="201" t="s">
        <v>41</v>
      </c>
      <c r="J106" s="201" t="s">
        <v>42</v>
      </c>
      <c r="K106" s="201" t="s">
        <v>43</v>
      </c>
      <c r="L106" s="201" t="s">
        <v>44</v>
      </c>
      <c r="M106" s="23" t="s">
        <v>45</v>
      </c>
      <c r="N106" s="24" t="s">
        <v>46</v>
      </c>
    </row>
    <row r="107" spans="1:14" x14ac:dyDescent="0.2">
      <c r="A107" s="243"/>
      <c r="B107" s="244"/>
      <c r="C107" s="151"/>
      <c r="D107" s="245"/>
      <c r="E107" s="246"/>
      <c r="F107" s="232"/>
      <c r="G107" s="147">
        <v>0</v>
      </c>
      <c r="H107" s="147">
        <v>0</v>
      </c>
      <c r="I107" s="85">
        <f t="shared" ref="I107:I109" si="39">G107-H107</f>
        <v>0</v>
      </c>
      <c r="J107" s="208">
        <v>0</v>
      </c>
      <c r="K107" s="208">
        <v>0</v>
      </c>
      <c r="L107" s="85">
        <f>SUM(J107:K107)</f>
        <v>0</v>
      </c>
      <c r="M107" s="16" t="str">
        <f>IFERROR(L107/H107,"N/A")</f>
        <v>N/A</v>
      </c>
      <c r="N107" s="233">
        <v>0</v>
      </c>
    </row>
    <row r="108" spans="1:14" x14ac:dyDescent="0.2">
      <c r="A108" s="247"/>
      <c r="B108" s="244"/>
      <c r="C108" s="151"/>
      <c r="D108" s="245"/>
      <c r="E108" s="246"/>
      <c r="F108" s="232"/>
      <c r="G108" s="147">
        <v>0</v>
      </c>
      <c r="H108" s="147">
        <v>0</v>
      </c>
      <c r="I108" s="85">
        <f t="shared" si="39"/>
        <v>0</v>
      </c>
      <c r="J108" s="208">
        <v>0</v>
      </c>
      <c r="K108" s="208">
        <v>0</v>
      </c>
      <c r="L108" s="85">
        <f t="shared" ref="L108:L109" si="40">SUM(J108:K108)</f>
        <v>0</v>
      </c>
      <c r="M108" s="16" t="str">
        <f t="shared" ref="M108:M109" si="41">IFERROR(L108/H108,"N/A")</f>
        <v>N/A</v>
      </c>
      <c r="N108" s="233">
        <v>0</v>
      </c>
    </row>
    <row r="109" spans="1:14" x14ac:dyDescent="0.2">
      <c r="A109" s="247"/>
      <c r="B109" s="244"/>
      <c r="C109" s="151"/>
      <c r="D109" s="245"/>
      <c r="E109" s="246"/>
      <c r="F109" s="232"/>
      <c r="G109" s="147">
        <v>0</v>
      </c>
      <c r="H109" s="147">
        <v>0</v>
      </c>
      <c r="I109" s="85">
        <f t="shared" si="39"/>
        <v>0</v>
      </c>
      <c r="J109" s="208">
        <v>0</v>
      </c>
      <c r="K109" s="208">
        <v>0</v>
      </c>
      <c r="L109" s="85">
        <f t="shared" si="40"/>
        <v>0</v>
      </c>
      <c r="M109" s="16" t="str">
        <f t="shared" si="41"/>
        <v>N/A</v>
      </c>
      <c r="N109" s="233">
        <v>0</v>
      </c>
    </row>
    <row r="110" spans="1:14" ht="13.5" thickBot="1" x14ac:dyDescent="0.25">
      <c r="A110" s="189"/>
      <c r="B110" s="186"/>
      <c r="C110" s="240" t="s">
        <v>142</v>
      </c>
      <c r="D110" s="241"/>
      <c r="E110" s="241"/>
      <c r="F110" s="242"/>
      <c r="G110" s="90">
        <f t="shared" ref="G110:L110" si="42">SUM(G107:G109)</f>
        <v>0</v>
      </c>
      <c r="H110" s="90">
        <f t="shared" si="42"/>
        <v>0</v>
      </c>
      <c r="I110" s="90">
        <f t="shared" si="42"/>
        <v>0</v>
      </c>
      <c r="J110" s="90">
        <f t="shared" si="42"/>
        <v>0</v>
      </c>
      <c r="K110" s="90">
        <f t="shared" si="42"/>
        <v>0</v>
      </c>
      <c r="L110" s="90">
        <f t="shared" si="42"/>
        <v>0</v>
      </c>
      <c r="M110" s="25" t="str">
        <f>IFERROR(L110/H110,"N/A")</f>
        <v>N/A</v>
      </c>
      <c r="N110" s="91">
        <f>SUM(N107:N109)</f>
        <v>0</v>
      </c>
    </row>
    <row r="111" spans="1:14" ht="13.5" thickBot="1" x14ac:dyDescent="0.25"/>
    <row r="112" spans="1:14" s="198" customFormat="1" x14ac:dyDescent="0.2">
      <c r="A112" s="220" t="s">
        <v>143</v>
      </c>
      <c r="B112" s="221"/>
      <c r="C112" s="221"/>
      <c r="D112" s="221"/>
      <c r="E112" s="221"/>
      <c r="F112" s="222"/>
      <c r="G112" s="223"/>
      <c r="H112" s="223"/>
      <c r="I112" s="223"/>
      <c r="J112" s="223"/>
      <c r="K112" s="223"/>
      <c r="L112" s="223"/>
      <c r="M112" s="4"/>
      <c r="N112" s="3"/>
    </row>
    <row r="113" spans="1:14" s="198" customFormat="1" ht="11.25" x14ac:dyDescent="0.2">
      <c r="A113" s="224" t="s">
        <v>144</v>
      </c>
      <c r="B113" s="250"/>
      <c r="C113" s="250"/>
      <c r="D113" s="250"/>
      <c r="E113" s="250"/>
      <c r="F113" s="196"/>
      <c r="G113" s="196"/>
      <c r="H113" s="196"/>
      <c r="I113" s="196"/>
      <c r="J113" s="196"/>
      <c r="K113" s="196"/>
      <c r="L113" s="196"/>
      <c r="M113" s="69"/>
      <c r="N113" s="251"/>
    </row>
    <row r="114" spans="1:14" s="198" customFormat="1" ht="11.25" x14ac:dyDescent="0.2">
      <c r="A114" s="252" t="s">
        <v>145</v>
      </c>
      <c r="B114" s="250"/>
      <c r="C114" s="250"/>
      <c r="D114" s="250"/>
      <c r="E114" s="250"/>
      <c r="F114" s="196"/>
      <c r="G114" s="196"/>
      <c r="H114" s="196"/>
      <c r="I114" s="196"/>
      <c r="J114" s="196"/>
      <c r="K114" s="196"/>
      <c r="L114" s="196"/>
      <c r="M114" s="69"/>
      <c r="N114" s="251"/>
    </row>
    <row r="115" spans="1:14" s="198" customFormat="1" ht="11.25" x14ac:dyDescent="0.2">
      <c r="A115" s="252" t="s">
        <v>146</v>
      </c>
      <c r="B115" s="250"/>
      <c r="C115" s="250"/>
      <c r="D115" s="250"/>
      <c r="E115" s="250"/>
      <c r="F115" s="250"/>
      <c r="G115" s="26"/>
      <c r="H115" s="26"/>
      <c r="I115" s="26"/>
      <c r="J115" s="26"/>
      <c r="K115" s="26"/>
      <c r="L115" s="26"/>
      <c r="M115" s="27"/>
      <c r="N115" s="28"/>
    </row>
    <row r="116" spans="1:14" ht="34.5" thickBot="1" x14ac:dyDescent="0.25">
      <c r="A116" s="225" t="s">
        <v>112</v>
      </c>
      <c r="B116" s="226"/>
      <c r="C116" s="227"/>
      <c r="D116" s="227"/>
      <c r="E116" s="227"/>
      <c r="F116" s="227"/>
      <c r="G116" s="201" t="s">
        <v>39</v>
      </c>
      <c r="H116" s="201" t="s">
        <v>40</v>
      </c>
      <c r="I116" s="201" t="s">
        <v>41</v>
      </c>
      <c r="J116" s="201" t="s">
        <v>42</v>
      </c>
      <c r="K116" s="201" t="s">
        <v>43</v>
      </c>
      <c r="L116" s="201" t="s">
        <v>44</v>
      </c>
      <c r="M116" s="23" t="s">
        <v>45</v>
      </c>
      <c r="N116" s="24" t="s">
        <v>46</v>
      </c>
    </row>
    <row r="117" spans="1:14" ht="13.5" thickBot="1" x14ac:dyDescent="0.25">
      <c r="A117" s="253" t="s">
        <v>147</v>
      </c>
      <c r="B117" s="254"/>
      <c r="C117" s="152"/>
      <c r="D117" s="232"/>
      <c r="E117" s="255" t="s">
        <v>148</v>
      </c>
      <c r="F117" s="256">
        <f>IFERROR(H119/H121,"N/A")</f>
        <v>9.9999466721085187E-2</v>
      </c>
      <c r="G117" s="148">
        <v>89656</v>
      </c>
      <c r="H117" s="148">
        <v>62046</v>
      </c>
      <c r="I117" s="92">
        <f>G117-H117</f>
        <v>27610</v>
      </c>
      <c r="J117" s="248">
        <v>22648.31</v>
      </c>
      <c r="K117" s="248">
        <f>64102.44-32035+7330</f>
        <v>39397.440000000002</v>
      </c>
      <c r="L117" s="85">
        <f>SUM(J117:K117)</f>
        <v>62045.75</v>
      </c>
      <c r="M117" s="16">
        <f>IFERROR(L117/H117,"N/A")</f>
        <v>0.99999597073139279</v>
      </c>
      <c r="N117" s="233">
        <f>62046+34674+1893</f>
        <v>98613</v>
      </c>
    </row>
    <row r="118" spans="1:14" ht="13.5" thickBot="1" x14ac:dyDescent="0.25">
      <c r="A118" s="257"/>
      <c r="B118" s="254"/>
      <c r="C118" s="153"/>
      <c r="D118" s="232"/>
      <c r="E118" s="255" t="s">
        <v>148</v>
      </c>
      <c r="F118" s="256" t="str">
        <f>IFERROR(H120/H122,"N/A")</f>
        <v>N/A</v>
      </c>
      <c r="G118" s="148">
        <v>0</v>
      </c>
      <c r="H118" s="148">
        <v>0</v>
      </c>
      <c r="I118" s="92">
        <f t="shared" ref="I118" si="43">G118-H118</f>
        <v>0</v>
      </c>
      <c r="J118" s="248">
        <v>0</v>
      </c>
      <c r="K118" s="248">
        <v>0</v>
      </c>
      <c r="L118" s="92">
        <f>SUM(J118:K118)</f>
        <v>0</v>
      </c>
      <c r="M118" s="22" t="str">
        <f>IFERROR(L118/H118,"N/A")</f>
        <v>N/A</v>
      </c>
      <c r="N118" s="258">
        <v>0</v>
      </c>
    </row>
    <row r="119" spans="1:14" ht="13.5" thickBot="1" x14ac:dyDescent="0.25">
      <c r="A119" s="189"/>
      <c r="B119" s="186"/>
      <c r="C119" s="240" t="s">
        <v>149</v>
      </c>
      <c r="D119" s="241"/>
      <c r="E119" s="241"/>
      <c r="F119" s="259"/>
      <c r="G119" s="93">
        <f>SUM(G117:G118)</f>
        <v>89656</v>
      </c>
      <c r="H119" s="93">
        <f>SUM(H117:H118)</f>
        <v>62046</v>
      </c>
      <c r="I119" s="93">
        <f>SUM(I117:I118)</f>
        <v>27610</v>
      </c>
      <c r="J119" s="93">
        <f t="shared" ref="J119:L119" si="44">SUM(J117:J118)</f>
        <v>22648.31</v>
      </c>
      <c r="K119" s="93">
        <f t="shared" si="44"/>
        <v>39397.440000000002</v>
      </c>
      <c r="L119" s="93">
        <f t="shared" si="44"/>
        <v>62045.75</v>
      </c>
      <c r="M119" s="82">
        <f>IFERROR(L119/H119,"N/A")</f>
        <v>0.99999597073139279</v>
      </c>
      <c r="N119" s="94">
        <f>SUM(N117:N118)</f>
        <v>98613</v>
      </c>
    </row>
    <row r="120" spans="1:14" ht="13.5" thickBot="1" x14ac:dyDescent="0.25"/>
    <row r="121" spans="1:14" ht="15.75" thickBot="1" x14ac:dyDescent="0.3">
      <c r="A121" s="260"/>
      <c r="B121" s="261"/>
      <c r="C121" s="262" t="s">
        <v>150</v>
      </c>
      <c r="D121" s="261"/>
      <c r="E121" s="261"/>
      <c r="F121" s="263"/>
      <c r="G121" s="95">
        <f t="shared" ref="G121:L121" si="45">SUM(G119,G110,G102,G94,G76,G68,G56)</f>
        <v>886593.52300000004</v>
      </c>
      <c r="H121" s="95">
        <f t="shared" si="45"/>
        <v>620463.3088</v>
      </c>
      <c r="I121" s="95">
        <f t="shared" si="45"/>
        <v>266130.21419999999</v>
      </c>
      <c r="J121" s="95">
        <f t="shared" si="45"/>
        <v>249131.44</v>
      </c>
      <c r="K121" s="95">
        <f t="shared" si="45"/>
        <v>361841.43</v>
      </c>
      <c r="L121" s="95">
        <f t="shared" si="45"/>
        <v>610972.86999999988</v>
      </c>
      <c r="M121" s="2">
        <f>IFERROR(L121/H121,"N/A")</f>
        <v>0.98470427071931943</v>
      </c>
      <c r="N121" s="96">
        <f>SUM(N119,N110,N102,N94,N76,N68,N56)</f>
        <v>876552.98</v>
      </c>
    </row>
    <row r="122" spans="1:14" ht="15" customHeight="1" thickBot="1" x14ac:dyDescent="0.25"/>
    <row r="123" spans="1:14" ht="15" x14ac:dyDescent="0.25">
      <c r="A123" s="264" t="s">
        <v>24</v>
      </c>
      <c r="B123" s="221"/>
      <c r="C123" s="221"/>
      <c r="D123" s="221"/>
      <c r="E123" s="221"/>
      <c r="F123" s="221"/>
      <c r="G123" s="221"/>
      <c r="H123" s="221"/>
      <c r="I123" s="221"/>
      <c r="J123" s="221"/>
      <c r="K123" s="221"/>
      <c r="L123" s="221"/>
      <c r="M123" s="221"/>
      <c r="N123" s="265"/>
    </row>
    <row r="124" spans="1:14" ht="14.25" x14ac:dyDescent="0.2">
      <c r="A124" s="266" t="s">
        <v>151</v>
      </c>
      <c r="B124" s="267"/>
      <c r="C124" s="267"/>
      <c r="D124" s="267"/>
      <c r="E124" s="267"/>
      <c r="F124" s="267"/>
      <c r="G124" s="267"/>
      <c r="H124" s="267"/>
      <c r="I124" s="267"/>
      <c r="J124" s="267"/>
      <c r="K124" s="267"/>
      <c r="L124" s="267"/>
      <c r="M124" s="267"/>
      <c r="N124" s="268"/>
    </row>
    <row r="125" spans="1:14" ht="15" x14ac:dyDescent="0.25">
      <c r="A125" s="266" t="s">
        <v>152</v>
      </c>
      <c r="B125" s="267"/>
      <c r="C125" s="267"/>
      <c r="D125" s="267"/>
      <c r="E125" s="267"/>
      <c r="F125" s="267"/>
      <c r="G125" s="267"/>
      <c r="H125" s="267"/>
      <c r="I125" s="267"/>
      <c r="J125" s="267"/>
      <c r="K125" s="267"/>
      <c r="L125" s="267"/>
      <c r="M125" s="267"/>
      <c r="N125" s="268"/>
    </row>
    <row r="126" spans="1:14" ht="15" x14ac:dyDescent="0.25">
      <c r="A126" s="266" t="s">
        <v>153</v>
      </c>
      <c r="B126" s="267"/>
      <c r="C126" s="267"/>
      <c r="D126" s="267"/>
      <c r="E126" s="267"/>
      <c r="F126" s="267"/>
      <c r="G126" s="267"/>
      <c r="H126" s="267"/>
      <c r="I126" s="267"/>
      <c r="J126" s="267"/>
      <c r="K126" s="267"/>
      <c r="L126" s="267"/>
      <c r="M126" s="267"/>
      <c r="N126" s="268"/>
    </row>
    <row r="127" spans="1:14" ht="45" customHeight="1" x14ac:dyDescent="0.2">
      <c r="A127" s="269" t="s">
        <v>154</v>
      </c>
      <c r="B127" s="270"/>
      <c r="C127" s="270" t="s">
        <v>112</v>
      </c>
      <c r="I127" s="271" t="s">
        <v>155</v>
      </c>
      <c r="J127" s="271" t="s">
        <v>156</v>
      </c>
      <c r="K127" s="271" t="s">
        <v>157</v>
      </c>
      <c r="L127" s="271" t="s">
        <v>158</v>
      </c>
      <c r="M127" s="76" t="s">
        <v>159</v>
      </c>
      <c r="N127" s="272" t="s">
        <v>160</v>
      </c>
    </row>
    <row r="128" spans="1:14" ht="15" customHeight="1" x14ac:dyDescent="0.2">
      <c r="A128" s="273" t="s">
        <v>161</v>
      </c>
      <c r="B128" s="102"/>
      <c r="C128" s="102"/>
      <c r="I128" s="103"/>
      <c r="J128" s="103"/>
      <c r="K128" s="103"/>
      <c r="L128" s="103"/>
      <c r="M128" s="11"/>
      <c r="N128" s="72"/>
    </row>
    <row r="129" spans="1:14" ht="15" customHeight="1" x14ac:dyDescent="0.2">
      <c r="A129" s="274" t="s">
        <v>162</v>
      </c>
      <c r="B129" s="154"/>
      <c r="C129" s="154" t="s">
        <v>63</v>
      </c>
      <c r="I129" s="147">
        <f>I121</f>
        <v>266130.21419999999</v>
      </c>
      <c r="J129" s="235">
        <v>133066</v>
      </c>
      <c r="K129" s="235">
        <f>132514</f>
        <v>132514</v>
      </c>
      <c r="L129" s="97">
        <f t="shared" ref="L129:L130" si="46">SUM(J129:K129)</f>
        <v>265580</v>
      </c>
      <c r="M129" s="11"/>
      <c r="N129" s="72"/>
    </row>
    <row r="130" spans="1:14" ht="15" customHeight="1" x14ac:dyDescent="0.2">
      <c r="A130" s="274"/>
      <c r="B130" s="154"/>
      <c r="C130" s="154"/>
      <c r="I130" s="147">
        <v>0</v>
      </c>
      <c r="J130" s="235">
        <v>0</v>
      </c>
      <c r="K130" s="235">
        <v>0</v>
      </c>
      <c r="L130" s="97">
        <f t="shared" si="46"/>
        <v>0</v>
      </c>
      <c r="M130" s="11"/>
      <c r="N130" s="72"/>
    </row>
    <row r="131" spans="1:14" x14ac:dyDescent="0.2">
      <c r="A131" s="275" t="s">
        <v>163</v>
      </c>
      <c r="B131" s="102"/>
      <c r="I131" s="103"/>
      <c r="J131" s="103"/>
      <c r="K131" s="103"/>
      <c r="L131" s="103"/>
      <c r="M131" s="11"/>
      <c r="N131" s="72"/>
    </row>
    <row r="132" spans="1:14" ht="15" customHeight="1" x14ac:dyDescent="0.2">
      <c r="A132" s="274"/>
      <c r="B132" s="154"/>
      <c r="I132" s="147">
        <v>0</v>
      </c>
      <c r="J132" s="235">
        <v>0</v>
      </c>
      <c r="K132" s="235">
        <v>0</v>
      </c>
      <c r="L132" s="97">
        <f t="shared" ref="L132:L142" si="47">SUM(J132:K132)</f>
        <v>0</v>
      </c>
      <c r="M132" s="11"/>
      <c r="N132" s="72"/>
    </row>
    <row r="133" spans="1:14" ht="15" customHeight="1" x14ac:dyDescent="0.2">
      <c r="A133" s="274"/>
      <c r="B133" s="154"/>
      <c r="I133" s="147"/>
      <c r="J133" s="235">
        <v>0</v>
      </c>
      <c r="K133" s="235">
        <v>0</v>
      </c>
      <c r="L133" s="97">
        <f t="shared" si="47"/>
        <v>0</v>
      </c>
      <c r="M133" s="11"/>
      <c r="N133" s="72"/>
    </row>
    <row r="134" spans="1:14" x14ac:dyDescent="0.2">
      <c r="A134" s="275" t="s">
        <v>164</v>
      </c>
      <c r="B134" s="102"/>
      <c r="I134" s="103"/>
      <c r="J134" s="103"/>
      <c r="K134" s="103"/>
      <c r="L134" s="103"/>
      <c r="M134" s="11"/>
      <c r="N134" s="72"/>
    </row>
    <row r="135" spans="1:14" ht="15" customHeight="1" x14ac:dyDescent="0.2">
      <c r="A135" s="274"/>
      <c r="B135" s="154"/>
      <c r="I135" s="147">
        <v>0</v>
      </c>
      <c r="J135" s="235">
        <v>0</v>
      </c>
      <c r="K135" s="235">
        <v>0</v>
      </c>
      <c r="L135" s="97">
        <f t="shared" ref="L135:L136" si="48">SUM(J135:K135)</f>
        <v>0</v>
      </c>
      <c r="M135" s="11"/>
      <c r="N135" s="72"/>
    </row>
    <row r="136" spans="1:14" ht="15" customHeight="1" x14ac:dyDescent="0.2">
      <c r="A136" s="274"/>
      <c r="B136" s="154"/>
      <c r="I136" s="147">
        <v>0</v>
      </c>
      <c r="J136" s="235">
        <v>0</v>
      </c>
      <c r="K136" s="235">
        <v>0</v>
      </c>
      <c r="L136" s="97">
        <f t="shared" si="48"/>
        <v>0</v>
      </c>
      <c r="M136" s="11"/>
      <c r="N136" s="72"/>
    </row>
    <row r="137" spans="1:14" x14ac:dyDescent="0.2">
      <c r="A137" s="275" t="s">
        <v>165</v>
      </c>
      <c r="B137" s="102"/>
      <c r="I137" s="103"/>
      <c r="J137" s="103"/>
      <c r="K137" s="103"/>
      <c r="L137" s="103"/>
      <c r="M137" s="31"/>
      <c r="N137" s="73"/>
    </row>
    <row r="138" spans="1:14" ht="15" customHeight="1" x14ac:dyDescent="0.2">
      <c r="A138" s="274"/>
      <c r="B138" s="154"/>
      <c r="I138" s="147">
        <v>0</v>
      </c>
      <c r="J138" s="235">
        <v>0</v>
      </c>
      <c r="K138" s="235">
        <v>0</v>
      </c>
      <c r="L138" s="97">
        <f t="shared" ref="L138:L139" si="49">SUM(J138:K138)</f>
        <v>0</v>
      </c>
      <c r="M138" s="11"/>
      <c r="N138" s="72"/>
    </row>
    <row r="139" spans="1:14" ht="15" customHeight="1" x14ac:dyDescent="0.2">
      <c r="A139" s="274"/>
      <c r="B139" s="154"/>
      <c r="I139" s="147">
        <v>0</v>
      </c>
      <c r="J139" s="235">
        <v>0</v>
      </c>
      <c r="K139" s="235">
        <v>0</v>
      </c>
      <c r="L139" s="97">
        <f t="shared" si="49"/>
        <v>0</v>
      </c>
      <c r="M139" s="11"/>
      <c r="N139" s="72"/>
    </row>
    <row r="140" spans="1:14" x14ac:dyDescent="0.2">
      <c r="A140" s="275" t="s">
        <v>166</v>
      </c>
      <c r="B140" s="102"/>
      <c r="I140" s="103"/>
      <c r="J140" s="103"/>
      <c r="K140" s="103"/>
      <c r="L140" s="103"/>
      <c r="M140" s="31"/>
      <c r="N140" s="73"/>
    </row>
    <row r="141" spans="1:14" ht="15" customHeight="1" x14ac:dyDescent="0.2">
      <c r="A141" s="274"/>
      <c r="B141" s="154"/>
      <c r="I141" s="147">
        <v>0</v>
      </c>
      <c r="J141" s="235">
        <v>0</v>
      </c>
      <c r="K141" s="235">
        <v>0</v>
      </c>
      <c r="L141" s="97">
        <f t="shared" si="47"/>
        <v>0</v>
      </c>
      <c r="M141" s="11"/>
      <c r="N141" s="72"/>
    </row>
    <row r="142" spans="1:14" ht="15" customHeight="1" x14ac:dyDescent="0.2">
      <c r="A142" s="274"/>
      <c r="B142" s="154"/>
      <c r="I142" s="147">
        <v>0</v>
      </c>
      <c r="J142" s="235">
        <v>0</v>
      </c>
      <c r="K142" s="235">
        <v>0</v>
      </c>
      <c r="L142" s="97">
        <f t="shared" si="47"/>
        <v>0</v>
      </c>
      <c r="M142" s="11"/>
      <c r="N142" s="72"/>
    </row>
    <row r="143" spans="1:14" x14ac:dyDescent="0.2">
      <c r="A143" s="273" t="s">
        <v>167</v>
      </c>
      <c r="B143" s="102"/>
      <c r="I143" s="103"/>
      <c r="J143" s="103"/>
      <c r="K143" s="103"/>
      <c r="L143" s="103"/>
      <c r="M143" s="31"/>
      <c r="N143" s="73"/>
    </row>
    <row r="144" spans="1:14" ht="15" customHeight="1" x14ac:dyDescent="0.2">
      <c r="A144" s="274"/>
      <c r="B144" s="154"/>
      <c r="I144" s="147">
        <v>0</v>
      </c>
      <c r="J144" s="235">
        <v>0</v>
      </c>
      <c r="K144" s="235">
        <v>0</v>
      </c>
      <c r="L144" s="97">
        <f t="shared" ref="L144:L145" si="50">SUM(J144:K144)</f>
        <v>0</v>
      </c>
      <c r="M144" s="11"/>
      <c r="N144" s="72"/>
    </row>
    <row r="145" spans="1:14" ht="15" customHeight="1" x14ac:dyDescent="0.2">
      <c r="A145" s="274"/>
      <c r="B145" s="154"/>
      <c r="I145" s="147">
        <v>0</v>
      </c>
      <c r="J145" s="235">
        <v>0</v>
      </c>
      <c r="K145" s="235">
        <v>0</v>
      </c>
      <c r="L145" s="97">
        <f t="shared" si="50"/>
        <v>0</v>
      </c>
      <c r="M145" s="11"/>
      <c r="N145" s="72"/>
    </row>
    <row r="146" spans="1:14" ht="15.75" thickBot="1" x14ac:dyDescent="0.3">
      <c r="A146" s="276" t="s">
        <v>168</v>
      </c>
      <c r="B146" s="186"/>
      <c r="C146" s="186"/>
      <c r="D146" s="277" t="s">
        <v>169</v>
      </c>
      <c r="E146" s="278"/>
      <c r="F146" s="278"/>
      <c r="G146" s="278"/>
      <c r="H146" s="278"/>
      <c r="I146" s="98">
        <f>SUM(I128:I145)</f>
        <v>266130.21419999999</v>
      </c>
      <c r="J146" s="98">
        <f t="shared" ref="J146:L146" si="51">SUM(J128:J145)</f>
        <v>133066</v>
      </c>
      <c r="K146" s="98">
        <f t="shared" si="51"/>
        <v>132514</v>
      </c>
      <c r="L146" s="98">
        <f t="shared" si="51"/>
        <v>265580</v>
      </c>
      <c r="M146" s="99">
        <f>N13-L13</f>
        <v>265580.1100000001</v>
      </c>
      <c r="N146" s="100">
        <f>IFERROR(L146-M146,"N/A")</f>
        <v>-0.11000000010244548</v>
      </c>
    </row>
    <row r="147" spans="1:14" ht="13.5" thickBot="1" x14ac:dyDescent="0.25">
      <c r="A147" s="164"/>
      <c r="F147" s="279"/>
    </row>
    <row r="148" spans="1:14" x14ac:dyDescent="0.2">
      <c r="A148" s="280" t="s">
        <v>170</v>
      </c>
      <c r="B148" s="188"/>
      <c r="C148" s="188"/>
      <c r="D148" s="188"/>
      <c r="E148" s="188"/>
      <c r="F148" s="281"/>
      <c r="G148" s="281"/>
      <c r="H148" s="281"/>
      <c r="I148" s="281"/>
      <c r="J148" s="281"/>
      <c r="K148" s="281"/>
      <c r="L148" s="281"/>
      <c r="M148" s="14"/>
      <c r="N148" s="13"/>
    </row>
    <row r="149" spans="1:14" ht="13.5" thickBot="1" x14ac:dyDescent="0.25">
      <c r="A149" s="184" t="s">
        <v>171</v>
      </c>
      <c r="B149" s="185"/>
      <c r="C149" s="185"/>
      <c r="D149" s="185"/>
      <c r="E149" s="185"/>
      <c r="F149" s="282"/>
      <c r="G149" s="282"/>
      <c r="H149" s="282"/>
      <c r="I149" s="282"/>
      <c r="J149" s="282"/>
      <c r="K149" s="282"/>
      <c r="L149" s="282"/>
      <c r="M149" s="10"/>
      <c r="N149" s="9"/>
    </row>
  </sheetData>
  <sheetProtection algorithmName="SHA-512" hashValue="APuDtxNV8YogSUjMYQIxMVtQgLARoKJhunwITka6vwz7W+omGENVn+LWUXHhGYoTofMjvZBXz1FuVex1dOLnKQ==" saltValue="PBA4FzEeuMzdMr3WmITO7g==" spinCount="100000" sheet="1" objects="1" scenarios="1"/>
  <sortState xmlns:xlrd2="http://schemas.microsoft.com/office/spreadsheetml/2017/richdata2" ref="A27:N52">
    <sortCondition descending="1" ref="C27:C52"/>
  </sortState>
  <conditionalFormatting sqref="B128:B145">
    <cfRule type="containsText" dxfId="7" priority="35" operator="containsText" text="VARIANCE">
      <formula>NOT(ISERROR(SEARCH("VARIANCE",B128)))</formula>
    </cfRule>
  </conditionalFormatting>
  <conditionalFormatting sqref="C128:C130">
    <cfRule type="containsText" dxfId="6" priority="20" operator="containsText" text="VARIANCE">
      <formula>NOT(ISERROR(SEARCH("VARIANCE",C128)))</formula>
    </cfRule>
  </conditionalFormatting>
  <conditionalFormatting sqref="I128:L128">
    <cfRule type="containsText" dxfId="5" priority="34" operator="containsText" text="VARIANCE">
      <formula>NOT(ISERROR(SEARCH("VARIANCE",I128)))</formula>
    </cfRule>
  </conditionalFormatting>
  <conditionalFormatting sqref="I131:L131">
    <cfRule type="containsText" dxfId="4" priority="33" operator="containsText" text="VARIANCE">
      <formula>NOT(ISERROR(SEARCH("VARIANCE",I131)))</formula>
    </cfRule>
  </conditionalFormatting>
  <conditionalFormatting sqref="I134:L134">
    <cfRule type="containsText" dxfId="3" priority="32" operator="containsText" text="VARIANCE">
      <formula>NOT(ISERROR(SEARCH("VARIANCE",I134)))</formula>
    </cfRule>
  </conditionalFormatting>
  <conditionalFormatting sqref="I137:L137">
    <cfRule type="containsText" dxfId="2" priority="31" operator="containsText" text="VARIANCE">
      <formula>NOT(ISERROR(SEARCH("VARIANCE",I137)))</formula>
    </cfRule>
  </conditionalFormatting>
  <conditionalFormatting sqref="I140:L140">
    <cfRule type="containsText" dxfId="1" priority="30" operator="containsText" text="VARIANCE">
      <formula>NOT(ISERROR(SEARCH("VARIANCE",I140)))</formula>
    </cfRule>
  </conditionalFormatting>
  <conditionalFormatting sqref="I143:L143">
    <cfRule type="containsText" dxfId="0" priority="29" operator="containsText" text="VARIANCE">
      <formula>NOT(ISERROR(SEARCH("VARIANCE",I143)))</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17:F118"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decimal" errorStyle="warning" allowBlank="1" showInputMessage="1" showErrorMessage="1" errorTitle="VARIANCE REPORT REQUIRED" error="Percentages below 90% or above 110% require an explanation in the VARIANCE REPORT/NOTES column." sqref="M27:M55" xr:uid="{00000000-0002-0000-0600-000002000000}">
      <formula1>0.9</formula1>
      <formula2>1.1</formula2>
    </dataValidation>
    <dataValidation type="list" allowBlank="1" showInputMessage="1" showErrorMessage="1" sqref="C27:C55" xr:uid="{74035CC8-3374-44B2-8A35-54AB49E229AE}">
      <formula1>$C$19:$C$21</formula1>
    </dataValidation>
    <dataValidation type="list" allowBlank="1" showInputMessage="1" showErrorMessage="1" sqref="C129:C130" xr:uid="{F93EA848-F649-4FD1-A87A-52E88083D79D}">
      <formula1>$F$19:$F$21</formula1>
    </dataValidation>
  </dataValidations>
  <pageMargins left="0.7" right="0.7" top="0.75" bottom="0.75" header="0.3" footer="0.3"/>
  <pageSetup scale="50" orientation="landscape" r:id="rId1"/>
  <headerFooter>
    <oddFooter>&amp;LCity of Santa Monica
Exhibit C1 - Program Budget&amp;C&amp;P&amp;RFiscal Year 2022-23
Human Services Grants Program</oddFooter>
  </headerFooter>
  <rowBreaks count="1" manualBreakCount="1">
    <brk id="94" max="13" man="1"/>
  </rowBreaks>
  <ignoredErrors>
    <ignoredError sqref="M6 M10:M11 M7:M9 M12:M13" formula="1"/>
    <ignoredError sqref="L129:L145" formulaRange="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I50"/>
  <sheetViews>
    <sheetView zoomScale="110" zoomScaleNormal="110" workbookViewId="0">
      <selection activeCell="D1" sqref="D1"/>
    </sheetView>
  </sheetViews>
  <sheetFormatPr defaultColWidth="8.85546875" defaultRowHeight="12.75" x14ac:dyDescent="0.2"/>
  <cols>
    <col min="1" max="1" width="53.7109375" style="312" customWidth="1"/>
    <col min="2" max="2" width="17.28515625" style="313" customWidth="1"/>
    <col min="3" max="4" width="18.140625" style="313" customWidth="1"/>
    <col min="5" max="5" width="17.28515625" style="313" customWidth="1"/>
    <col min="6" max="8" width="17.28515625" style="314" customWidth="1"/>
    <col min="9" max="9" width="14.85546875" style="288" bestFit="1" customWidth="1"/>
    <col min="10" max="16384" width="8.85546875" style="288"/>
  </cols>
  <sheetData>
    <row r="1" spans="1:9" ht="18" x14ac:dyDescent="0.2">
      <c r="A1" s="283" t="s">
        <v>36</v>
      </c>
      <c r="B1" s="284"/>
      <c r="C1" s="285"/>
      <c r="D1" s="286"/>
      <c r="E1" s="287"/>
      <c r="F1" s="288"/>
      <c r="G1" s="288"/>
      <c r="H1" s="288"/>
    </row>
    <row r="2" spans="1:9" ht="18" x14ac:dyDescent="0.2">
      <c r="A2" s="283" t="s">
        <v>172</v>
      </c>
      <c r="B2" s="283"/>
      <c r="C2" s="283"/>
      <c r="D2" s="289"/>
      <c r="E2" s="283"/>
      <c r="F2" s="283"/>
      <c r="G2" s="283"/>
      <c r="H2" s="288"/>
    </row>
    <row r="3" spans="1:9" x14ac:dyDescent="0.2">
      <c r="A3" s="284"/>
      <c r="B3" s="284"/>
      <c r="C3" s="285"/>
      <c r="D3" s="286"/>
      <c r="E3" s="287"/>
      <c r="F3" s="288"/>
      <c r="G3" s="288"/>
      <c r="H3" s="288"/>
    </row>
    <row r="4" spans="1:9" s="293" customFormat="1" ht="18.75" customHeight="1" x14ac:dyDescent="0.2">
      <c r="A4" s="290" t="s">
        <v>173</v>
      </c>
      <c r="B4" s="291" t="s">
        <v>174</v>
      </c>
      <c r="C4" s="292" t="s">
        <v>175</v>
      </c>
      <c r="D4" s="292" t="s">
        <v>176</v>
      </c>
    </row>
    <row r="5" spans="1:9" s="293" customFormat="1" ht="18.75" customHeight="1" x14ac:dyDescent="0.2">
      <c r="A5" s="294" t="s">
        <v>177</v>
      </c>
      <c r="B5" s="295">
        <v>150</v>
      </c>
      <c r="C5" s="296">
        <v>158</v>
      </c>
      <c r="D5" s="297">
        <v>169</v>
      </c>
    </row>
    <row r="6" spans="1:9" s="293" customFormat="1" ht="18.75" customHeight="1" x14ac:dyDescent="0.2">
      <c r="A6" s="298" t="s">
        <v>178</v>
      </c>
      <c r="B6" s="295">
        <v>150</v>
      </c>
      <c r="C6" s="296">
        <v>158</v>
      </c>
      <c r="D6" s="297">
        <v>169</v>
      </c>
    </row>
    <row r="7" spans="1:9" s="293" customFormat="1" ht="14.25" x14ac:dyDescent="0.2">
      <c r="A7" s="299"/>
      <c r="B7" s="299"/>
      <c r="C7" s="300"/>
      <c r="D7" s="299"/>
    </row>
    <row r="8" spans="1:9" s="293" customFormat="1" ht="45" x14ac:dyDescent="0.2">
      <c r="A8" s="301" t="s">
        <v>179</v>
      </c>
      <c r="B8" s="291" t="s">
        <v>174</v>
      </c>
      <c r="C8" s="292" t="s">
        <v>180</v>
      </c>
    </row>
    <row r="9" spans="1:9" s="293" customFormat="1" ht="14.25" x14ac:dyDescent="0.2">
      <c r="A9" s="299"/>
      <c r="B9" s="142">
        <f>IFERROR(('PROGRAM BUDGET &amp; FISCAL REPORT'!G13/'PARTICIPANTS &amp; DEMOGRAPHICS'!B5),"N/A")</f>
        <v>5910.6234866666673</v>
      </c>
      <c r="C9" s="136">
        <f>IFERROR(('PROGRAM BUDGET &amp; FISCAL REPORT'!N13/'PARTICIPANTS &amp; DEMOGRAPHICS'!D5),"N/A")</f>
        <v>5186.7040236686389</v>
      </c>
      <c r="D9" s="299"/>
      <c r="F9" s="299"/>
    </row>
    <row r="10" spans="1:9" s="293" customFormat="1" ht="14.25" x14ac:dyDescent="0.2">
      <c r="A10" s="299"/>
      <c r="B10" s="299"/>
      <c r="C10" s="299"/>
      <c r="D10" s="299"/>
      <c r="F10" s="299"/>
      <c r="G10" s="299"/>
      <c r="H10" s="300"/>
      <c r="I10" s="299"/>
    </row>
    <row r="11" spans="1:9" s="293" customFormat="1" ht="14.25" x14ac:dyDescent="0.2">
      <c r="A11" s="299"/>
      <c r="B11" s="299"/>
      <c r="C11" s="300"/>
      <c r="D11" s="299"/>
    </row>
    <row r="12" spans="1:9" s="293" customFormat="1" ht="15" x14ac:dyDescent="0.2">
      <c r="A12" s="302" t="s">
        <v>181</v>
      </c>
      <c r="B12" s="303"/>
      <c r="C12" s="303"/>
      <c r="D12" s="304"/>
    </row>
    <row r="13" spans="1:9" s="293" customFormat="1" ht="15" x14ac:dyDescent="0.2">
      <c r="A13" s="305" t="s">
        <v>182</v>
      </c>
      <c r="B13" s="306"/>
      <c r="C13" s="306"/>
      <c r="D13" s="307"/>
    </row>
    <row r="14" spans="1:9" s="308" customFormat="1" ht="14.25" x14ac:dyDescent="0.2">
      <c r="C14" s="309"/>
    </row>
    <row r="15" spans="1:9" s="308" customFormat="1" ht="15" x14ac:dyDescent="0.2">
      <c r="A15" s="310" t="s">
        <v>183</v>
      </c>
      <c r="C15" s="309"/>
    </row>
    <row r="16" spans="1:9" s="308" customFormat="1" ht="14.25" x14ac:dyDescent="0.2">
      <c r="A16" s="311" t="s">
        <v>184</v>
      </c>
      <c r="C16" s="309"/>
    </row>
    <row r="17" spans="1:3" s="308" customFormat="1" ht="14.25" x14ac:dyDescent="0.2">
      <c r="A17" s="311" t="s">
        <v>185</v>
      </c>
      <c r="C17" s="309"/>
    </row>
    <row r="18" spans="1:3" s="308" customFormat="1" ht="14.25" x14ac:dyDescent="0.2">
      <c r="A18" s="311" t="s">
        <v>186</v>
      </c>
      <c r="C18" s="309"/>
    </row>
    <row r="19" spans="1:3" s="308" customFormat="1" ht="14.25" x14ac:dyDescent="0.2">
      <c r="A19" s="311" t="s">
        <v>187</v>
      </c>
      <c r="C19" s="309"/>
    </row>
    <row r="20" spans="1:3" s="308" customFormat="1" ht="14.25" x14ac:dyDescent="0.2">
      <c r="A20" s="311"/>
      <c r="C20" s="309"/>
    </row>
    <row r="21" spans="1:3" s="309" customFormat="1" ht="15" x14ac:dyDescent="0.2">
      <c r="A21" s="310" t="s">
        <v>188</v>
      </c>
    </row>
    <row r="22" spans="1:3" s="309" customFormat="1" ht="14.25" x14ac:dyDescent="0.2">
      <c r="A22" s="311" t="s">
        <v>189</v>
      </c>
    </row>
    <row r="23" spans="1:3" s="309" customFormat="1" ht="14.25" x14ac:dyDescent="0.2">
      <c r="A23" s="311" t="s">
        <v>190</v>
      </c>
    </row>
    <row r="24" spans="1:3" s="309" customFormat="1" ht="14.25" x14ac:dyDescent="0.2">
      <c r="A24" s="311"/>
    </row>
    <row r="25" spans="1:3" s="309" customFormat="1" ht="15" x14ac:dyDescent="0.2">
      <c r="A25" s="310" t="s">
        <v>191</v>
      </c>
    </row>
    <row r="26" spans="1:3" s="309" customFormat="1" ht="14.25" x14ac:dyDescent="0.2">
      <c r="A26" s="311" t="s">
        <v>192</v>
      </c>
    </row>
    <row r="27" spans="1:3" s="309" customFormat="1" ht="14.25" x14ac:dyDescent="0.2">
      <c r="A27" s="311"/>
    </row>
    <row r="28" spans="1:3" s="309" customFormat="1" ht="15" x14ac:dyDescent="0.2">
      <c r="A28" s="310" t="s">
        <v>193</v>
      </c>
    </row>
    <row r="29" spans="1:3" s="309" customFormat="1" ht="14.25" x14ac:dyDescent="0.2">
      <c r="A29" s="311" t="s">
        <v>194</v>
      </c>
    </row>
    <row r="30" spans="1:3" s="309" customFormat="1" ht="14.25" x14ac:dyDescent="0.2">
      <c r="A30" s="311" t="s">
        <v>195</v>
      </c>
    </row>
    <row r="31" spans="1:3" s="309" customFormat="1" ht="14.25" x14ac:dyDescent="0.2">
      <c r="A31" s="311" t="s">
        <v>196</v>
      </c>
    </row>
    <row r="32" spans="1:3" s="309" customFormat="1" ht="14.25" x14ac:dyDescent="0.2">
      <c r="A32" s="311" t="s">
        <v>197</v>
      </c>
    </row>
    <row r="33" spans="1:3" s="309" customFormat="1" ht="14.25" x14ac:dyDescent="0.2">
      <c r="A33" s="311" t="s">
        <v>198</v>
      </c>
    </row>
    <row r="34" spans="1:3" s="309" customFormat="1" ht="14.25" x14ac:dyDescent="0.2">
      <c r="A34" s="311" t="s">
        <v>199</v>
      </c>
    </row>
    <row r="35" spans="1:3" s="309" customFormat="1" ht="14.25" x14ac:dyDescent="0.2">
      <c r="A35" s="311"/>
    </row>
    <row r="36" spans="1:3" s="309" customFormat="1" ht="15" x14ac:dyDescent="0.2">
      <c r="A36" s="310" t="s">
        <v>200</v>
      </c>
    </row>
    <row r="37" spans="1:3" s="309" customFormat="1" ht="14.25" x14ac:dyDescent="0.2">
      <c r="A37" s="311" t="s">
        <v>201</v>
      </c>
    </row>
    <row r="38" spans="1:3" s="309" customFormat="1" ht="14.25" x14ac:dyDescent="0.2">
      <c r="A38" s="311" t="s">
        <v>202</v>
      </c>
    </row>
    <row r="39" spans="1:3" s="309" customFormat="1" ht="14.25" x14ac:dyDescent="0.2">
      <c r="A39" s="311" t="s">
        <v>203</v>
      </c>
    </row>
    <row r="40" spans="1:3" s="309" customFormat="1" ht="14.25" x14ac:dyDescent="0.2">
      <c r="A40" s="311"/>
    </row>
    <row r="41" spans="1:3" s="308" customFormat="1" ht="15" x14ac:dyDescent="0.2">
      <c r="A41" s="310" t="s">
        <v>204</v>
      </c>
      <c r="C41" s="309"/>
    </row>
    <row r="42" spans="1:3" s="308" customFormat="1" ht="14.25" x14ac:dyDescent="0.2">
      <c r="A42" s="311" t="s">
        <v>205</v>
      </c>
      <c r="C42" s="309"/>
    </row>
    <row r="43" spans="1:3" s="308" customFormat="1" ht="14.25" x14ac:dyDescent="0.2">
      <c r="A43" s="311" t="s">
        <v>206</v>
      </c>
      <c r="C43" s="309"/>
    </row>
    <row r="44" spans="1:3" s="308" customFormat="1" ht="14.25" x14ac:dyDescent="0.2">
      <c r="A44" s="311"/>
      <c r="C44" s="309"/>
    </row>
    <row r="45" spans="1:3" s="308" customFormat="1" ht="15" x14ac:dyDescent="0.2">
      <c r="A45" s="310" t="s">
        <v>207</v>
      </c>
      <c r="C45" s="309"/>
    </row>
    <row r="46" spans="1:3" s="308" customFormat="1" ht="14.25" x14ac:dyDescent="0.2">
      <c r="A46" s="311" t="s">
        <v>208</v>
      </c>
      <c r="C46" s="309"/>
    </row>
    <row r="47" spans="1:3" s="308" customFormat="1" ht="14.25" x14ac:dyDescent="0.2">
      <c r="A47" s="311" t="s">
        <v>209</v>
      </c>
      <c r="C47" s="309"/>
    </row>
    <row r="48" spans="1:3" x14ac:dyDescent="0.2">
      <c r="C48" s="314"/>
    </row>
    <row r="49" spans="1:3" ht="45" x14ac:dyDescent="0.2">
      <c r="A49" s="301" t="s">
        <v>210</v>
      </c>
      <c r="B49" s="291" t="s">
        <v>174</v>
      </c>
      <c r="C49" s="292" t="s">
        <v>180</v>
      </c>
    </row>
    <row r="50" spans="1:3" ht="14.25" x14ac:dyDescent="0.2">
      <c r="A50" s="299"/>
      <c r="B50" s="104" t="str">
        <f>IFERROR(('PROGRAM BUDGET &amp; FISCAL REPORT'!G13/'PARTICIPANTS &amp; DEMOGRAPHICS'!B4),"N/A")</f>
        <v>N/A</v>
      </c>
      <c r="C50" s="104" t="str">
        <f>IFERROR(('PROGRAM BUDGET &amp; FISCAL REPORT'!N13/'PARTICIPANTS &amp; DEMOGRAPHICS'!D4),"N/A")</f>
        <v>N/A</v>
      </c>
    </row>
  </sheetData>
  <sheetProtection algorithmName="SHA-512" hashValue="QrQ3soEzGjDUtZ8KOURgaBj+OcRIF+uodAkVH+M5yRt60jJE1RMVPUTJjFzOZ6XCAgQqVq+U4NKgtYCcD6BU2Q==" saltValue="FoB4+4I+waaIAJs2u40jqA==" spinCount="100000" sheet="1" objects="1" scenarios="1"/>
  <pageMargins left="0.7" right="0.7" top="0.75" bottom="0.75" header="0.3" footer="0.3"/>
  <pageSetup scale="65" orientation="portrait" horizontalDpi="4294967295" verticalDpi="4294967295" r:id="rId1"/>
  <headerFooter>
    <oddFooter>&amp;LCity of Santa Monica
Exhibit C1 -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40" hidden="1" customWidth="1"/>
    <col min="2" max="2" width="48.85546875" style="40" customWidth="1"/>
    <col min="3" max="3" width="15.42578125" style="36" customWidth="1"/>
    <col min="4" max="4" width="19.140625" style="36" customWidth="1"/>
    <col min="5" max="5" width="19.7109375" style="36" customWidth="1"/>
    <col min="6" max="6" width="19.42578125" style="36" customWidth="1"/>
    <col min="7" max="7" width="31.42578125" style="36" customWidth="1"/>
    <col min="8" max="16384" width="11.42578125" style="40"/>
  </cols>
  <sheetData>
    <row r="1" spans="1:8" ht="18" x14ac:dyDescent="0.25">
      <c r="A1" s="20"/>
      <c r="B1" s="29" t="s">
        <v>36</v>
      </c>
      <c r="C1" s="40"/>
      <c r="D1" s="40"/>
      <c r="E1" s="40"/>
      <c r="F1" s="40"/>
      <c r="G1" s="40"/>
    </row>
    <row r="2" spans="1:8" ht="18" x14ac:dyDescent="0.25">
      <c r="A2" s="20"/>
      <c r="B2" s="29" t="s">
        <v>211</v>
      </c>
      <c r="C2" s="40"/>
      <c r="D2" s="40"/>
      <c r="E2" s="40"/>
      <c r="F2" s="40"/>
      <c r="G2" s="40"/>
    </row>
    <row r="3" spans="1:8" ht="22.5" customHeight="1" x14ac:dyDescent="0.25">
      <c r="A3" s="20"/>
      <c r="B3" s="155" t="str">
        <f>'PROGRAM BUDGET &amp; FISCAL REPORT'!A6</f>
        <v>AGENCY NAME:</v>
      </c>
      <c r="C3" s="105" t="str">
        <f>'PROGRAM BUDGET &amp; FISCAL REPORT'!B6</f>
        <v>St. Joseph Center</v>
      </c>
      <c r="D3" s="106"/>
      <c r="E3" s="106"/>
      <c r="F3" s="106"/>
      <c r="G3" s="40"/>
    </row>
    <row r="4" spans="1:8" ht="22.5" customHeight="1" x14ac:dyDescent="0.25">
      <c r="A4" s="20"/>
      <c r="B4" s="155" t="str">
        <f>'PROGRAM BUDGET &amp; FISCAL REPORT'!A7</f>
        <v>PROGRAM NAME:</v>
      </c>
      <c r="C4" s="107" t="str">
        <f>'PROGRAM BUDGET &amp; FISCAL REPORT'!B7</f>
        <v>Santa Monica Retention Program</v>
      </c>
      <c r="D4" s="108"/>
      <c r="E4" s="108"/>
      <c r="F4" s="108"/>
      <c r="G4" s="40"/>
    </row>
    <row r="5" spans="1:8" ht="8.25" customHeight="1" thickBot="1" x14ac:dyDescent="0.25">
      <c r="A5" s="20"/>
      <c r="B5" s="161"/>
      <c r="C5" s="40"/>
      <c r="D5" s="40"/>
      <c r="E5" s="40"/>
      <c r="F5" s="40"/>
      <c r="G5" s="40"/>
    </row>
    <row r="6" spans="1:8" ht="52.5" customHeight="1" x14ac:dyDescent="0.55000000000000004">
      <c r="B6" s="42" t="s">
        <v>212</v>
      </c>
      <c r="C6" s="43" t="s">
        <v>213</v>
      </c>
      <c r="D6" s="43"/>
      <c r="E6" s="43" t="s">
        <v>214</v>
      </c>
      <c r="F6" s="44"/>
      <c r="G6" s="40"/>
    </row>
    <row r="7" spans="1:8" ht="14.25" x14ac:dyDescent="0.2">
      <c r="B7" s="45" t="s">
        <v>215</v>
      </c>
      <c r="C7" s="46">
        <f>'PARTICIPANTS &amp; DEMOGRAPHICS'!B5</f>
        <v>150</v>
      </c>
      <c r="D7" s="47"/>
      <c r="E7" s="47">
        <f>'PARTICIPANTS &amp; DEMOGRAPHICS'!D5</f>
        <v>169</v>
      </c>
      <c r="F7" s="48"/>
      <c r="G7" s="40"/>
    </row>
    <row r="8" spans="1:8" ht="14.25" x14ac:dyDescent="0.2">
      <c r="B8" s="49" t="s">
        <v>216</v>
      </c>
      <c r="C8" s="46">
        <f>'PARTICIPANTS &amp; DEMOGRAPHICS'!B6</f>
        <v>150</v>
      </c>
      <c r="D8" s="47"/>
      <c r="E8" s="47">
        <f>'PARTICIPANTS &amp; DEMOGRAPHICS'!D6</f>
        <v>169</v>
      </c>
      <c r="F8" s="48"/>
      <c r="G8" s="40"/>
    </row>
    <row r="9" spans="1:8" ht="14.25" x14ac:dyDescent="0.2">
      <c r="B9" s="45" t="s">
        <v>217</v>
      </c>
      <c r="C9" s="70">
        <f>IFERROR(C8/C7, "N/A")</f>
        <v>1</v>
      </c>
      <c r="D9" s="51"/>
      <c r="E9" s="114">
        <f>IFERROR(E8/E7, "N/A")</f>
        <v>1</v>
      </c>
      <c r="F9" s="48"/>
      <c r="G9" s="40"/>
    </row>
    <row r="10" spans="1:8" ht="14.25" x14ac:dyDescent="0.2">
      <c r="B10" s="45"/>
      <c r="C10" s="50"/>
      <c r="D10" s="51"/>
      <c r="E10" s="46"/>
      <c r="F10" s="48"/>
      <c r="G10" s="40"/>
    </row>
    <row r="11" spans="1:8" ht="63.75" customHeight="1" x14ac:dyDescent="0.55000000000000004">
      <c r="B11" s="52" t="s">
        <v>218</v>
      </c>
      <c r="C11" s="159" t="s">
        <v>219</v>
      </c>
      <c r="D11" s="159" t="s">
        <v>220</v>
      </c>
      <c r="E11" s="159" t="s">
        <v>221</v>
      </c>
      <c r="F11" s="160" t="s">
        <v>222</v>
      </c>
      <c r="G11" s="40"/>
    </row>
    <row r="12" spans="1:8" ht="16.5" customHeight="1" x14ac:dyDescent="0.2">
      <c r="B12" s="45" t="s">
        <v>223</v>
      </c>
      <c r="C12" s="109">
        <f>'PROGRAM BUDGET &amp; FISCAL REPORT'!G13</f>
        <v>886593.52300000004</v>
      </c>
      <c r="D12" s="109">
        <f>'PROGRAM BUDGET &amp; FISCAL REPORT'!H13</f>
        <v>620463.3088</v>
      </c>
      <c r="E12" s="109">
        <f>'PROGRAM BUDGET &amp; FISCAL REPORT'!N13</f>
        <v>876552.98</v>
      </c>
      <c r="F12" s="110">
        <f>'PROGRAM BUDGET &amp; FISCAL REPORT'!L13</f>
        <v>610972.86999999988</v>
      </c>
      <c r="G12" s="40"/>
    </row>
    <row r="13" spans="1:8" ht="16.5" customHeight="1" x14ac:dyDescent="0.2">
      <c r="B13" s="45"/>
      <c r="C13" s="53"/>
      <c r="D13" s="53"/>
      <c r="E13" s="53"/>
      <c r="F13" s="54"/>
      <c r="G13" s="40"/>
    </row>
    <row r="14" spans="1:8" ht="19.5" x14ac:dyDescent="0.55000000000000004">
      <c r="B14" s="52" t="s">
        <v>224</v>
      </c>
      <c r="C14" s="320" t="s">
        <v>225</v>
      </c>
      <c r="D14" s="320"/>
      <c r="E14" s="320" t="s">
        <v>226</v>
      </c>
      <c r="F14" s="321"/>
      <c r="G14" s="40"/>
    </row>
    <row r="15" spans="1:8" ht="14.25" x14ac:dyDescent="0.2">
      <c r="B15" s="45" t="s">
        <v>227</v>
      </c>
      <c r="C15" s="111">
        <f>IFERROR(C12*C9,"N/A")</f>
        <v>886593.52300000004</v>
      </c>
      <c r="D15" s="55">
        <f>IFERROR(C15/C12,"N/A")</f>
        <v>1</v>
      </c>
      <c r="E15" s="112">
        <f>IFERROR(E12*E9,"N/A")</f>
        <v>876552.98</v>
      </c>
      <c r="F15" s="57">
        <f>IFERROR(E15/E12,"N/A")</f>
        <v>1</v>
      </c>
      <c r="G15" s="40"/>
    </row>
    <row r="16" spans="1:8" ht="14.25" x14ac:dyDescent="0.2">
      <c r="B16" s="45" t="s">
        <v>228</v>
      </c>
      <c r="C16" s="111">
        <f>D12</f>
        <v>620463.3088</v>
      </c>
      <c r="D16" s="55">
        <f>IFERROR(C16/C15, "N/A")</f>
        <v>0.69982837986512103</v>
      </c>
      <c r="E16" s="112">
        <f>F12</f>
        <v>610972.86999999988</v>
      </c>
      <c r="F16" s="57">
        <f>IFERROR(E16/E15, "N/A")</f>
        <v>0.69701761780560012</v>
      </c>
      <c r="G16" s="40"/>
      <c r="H16" s="41"/>
    </row>
    <row r="17" spans="2:7" ht="15" thickBot="1" x14ac:dyDescent="0.25">
      <c r="B17" s="45"/>
      <c r="C17" s="30"/>
      <c r="D17" s="55"/>
      <c r="E17" s="56"/>
      <c r="F17" s="57"/>
      <c r="G17" s="40"/>
    </row>
    <row r="18" spans="2:7" ht="15.75" thickBot="1" x14ac:dyDescent="0.3">
      <c r="B18" s="58" t="s">
        <v>229</v>
      </c>
      <c r="C18" s="113">
        <f>IFERROR(C15-C16,"N/A")</f>
        <v>266130.21420000005</v>
      </c>
      <c r="D18" s="59">
        <f>IFERROR(C18/C15, "N/A")</f>
        <v>0.30017162013487891</v>
      </c>
      <c r="E18" s="113">
        <f>IFERROR(E15-E16, "N/A")</f>
        <v>265580.1100000001</v>
      </c>
      <c r="F18" s="60">
        <f>IFERROR(E18/E15, "N/A")</f>
        <v>0.30298238219439982</v>
      </c>
      <c r="G18" s="40"/>
    </row>
    <row r="19" spans="2:7" ht="30.75" thickBot="1" x14ac:dyDescent="0.3">
      <c r="B19" s="45"/>
      <c r="C19" s="61"/>
      <c r="D19" s="62" t="s">
        <v>230</v>
      </c>
      <c r="E19" s="47"/>
      <c r="F19" s="62" t="s">
        <v>230</v>
      </c>
    </row>
    <row r="20" spans="2:7" s="1" customFormat="1" ht="12.75" x14ac:dyDescent="0.2">
      <c r="B20" s="40"/>
      <c r="C20" s="36"/>
      <c r="D20" s="36"/>
      <c r="E20" s="36"/>
      <c r="F20" s="36"/>
      <c r="G20" s="36"/>
    </row>
  </sheetData>
  <sheetProtection algorithmName="SHA-512" hashValue="pEF8p8RzH6JaT+wM2oE6QEt1m0Afgxs0+dDAAYUGN58b97duii77lNtfCQkFnd4om6SDibFAfs8iEwG5xoMsGw==" saltValue="yj6ZT1xY9gAKFnj+Sg16mQ=="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C1 -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6"/>
  <sheetViews>
    <sheetView zoomScaleNormal="100" workbookViewId="0">
      <selection activeCell="E1" sqref="E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37" customFormat="1" ht="18" x14ac:dyDescent="0.2">
      <c r="A1" s="38" t="s">
        <v>36</v>
      </c>
      <c r="B1" s="71"/>
      <c r="C1" s="39"/>
      <c r="D1" s="39"/>
      <c r="E1" s="39"/>
      <c r="F1" s="21"/>
      <c r="G1" s="21"/>
    </row>
    <row r="2" spans="1:7" ht="18" x14ac:dyDescent="0.25">
      <c r="A2" s="325" t="s">
        <v>231</v>
      </c>
      <c r="B2" s="326"/>
      <c r="C2" s="326"/>
      <c r="D2" s="326"/>
      <c r="E2" s="326"/>
      <c r="F2" s="156"/>
      <c r="G2" s="156"/>
    </row>
    <row r="3" spans="1:7" ht="15.75" x14ac:dyDescent="0.2">
      <c r="A3" s="115"/>
      <c r="B3" s="156"/>
      <c r="C3" s="156"/>
      <c r="D3" s="156"/>
      <c r="E3" s="156"/>
      <c r="F3" s="156"/>
      <c r="G3" s="156"/>
    </row>
    <row r="4" spans="1:7" ht="79.5" customHeight="1" x14ac:dyDescent="0.2">
      <c r="A4" s="327" t="s">
        <v>232</v>
      </c>
      <c r="B4" s="328"/>
      <c r="C4" s="328"/>
      <c r="D4" s="328"/>
      <c r="E4" s="328"/>
      <c r="F4" s="156"/>
      <c r="G4" s="156"/>
    </row>
    <row r="5" spans="1:7" ht="15" x14ac:dyDescent="0.2">
      <c r="A5" s="116"/>
      <c r="B5" s="117"/>
      <c r="C5" s="117"/>
      <c r="D5" s="117"/>
      <c r="E5" s="117"/>
      <c r="F5" s="156"/>
      <c r="G5" s="156"/>
    </row>
    <row r="6" spans="1:7" ht="45" x14ac:dyDescent="0.25">
      <c r="A6" s="329" t="s">
        <v>233</v>
      </c>
      <c r="B6" s="330"/>
      <c r="C6" s="162" t="s">
        <v>234</v>
      </c>
      <c r="D6" s="162" t="s">
        <v>235</v>
      </c>
      <c r="E6" s="118" t="s">
        <v>236</v>
      </c>
      <c r="F6" s="156"/>
      <c r="G6" s="156"/>
    </row>
    <row r="7" spans="1:7" ht="15" x14ac:dyDescent="0.25">
      <c r="A7" s="119" t="s">
        <v>237</v>
      </c>
      <c r="B7" s="120"/>
      <c r="C7" s="119"/>
      <c r="D7" s="119"/>
      <c r="E7" s="119"/>
      <c r="F7" s="156"/>
      <c r="G7" s="156"/>
    </row>
    <row r="8" spans="1:7" ht="15" x14ac:dyDescent="0.25">
      <c r="A8" s="121" t="s">
        <v>61</v>
      </c>
      <c r="B8" s="121" t="s">
        <v>238</v>
      </c>
      <c r="C8" s="122">
        <v>10000</v>
      </c>
      <c r="D8" s="122">
        <v>15000</v>
      </c>
      <c r="E8" s="119"/>
      <c r="F8" s="156"/>
      <c r="G8" s="156"/>
    </row>
    <row r="9" spans="1:7" ht="15" x14ac:dyDescent="0.25">
      <c r="A9" s="123"/>
      <c r="B9" s="124"/>
      <c r="C9" s="124"/>
      <c r="D9" s="156"/>
      <c r="E9" s="125"/>
      <c r="F9" s="156"/>
      <c r="G9" s="156"/>
    </row>
    <row r="10" spans="1:7" ht="15" x14ac:dyDescent="0.25">
      <c r="A10" s="324" t="s">
        <v>161</v>
      </c>
      <c r="B10" s="323"/>
      <c r="C10" s="323"/>
      <c r="D10" s="323"/>
      <c r="E10" s="323"/>
      <c r="F10" s="156"/>
      <c r="G10" s="156"/>
    </row>
    <row r="11" spans="1:7" ht="14.25" x14ac:dyDescent="0.2">
      <c r="A11" s="126" t="s">
        <v>239</v>
      </c>
      <c r="B11" s="126" t="s">
        <v>240</v>
      </c>
      <c r="C11" s="135">
        <v>33356145</v>
      </c>
      <c r="D11" s="135">
        <v>39695143</v>
      </c>
      <c r="E11" s="127" t="s">
        <v>241</v>
      </c>
      <c r="F11" s="156"/>
      <c r="G11" s="156"/>
    </row>
    <row r="12" spans="1:7" ht="14.25" x14ac:dyDescent="0.2">
      <c r="A12" s="126" t="s">
        <v>239</v>
      </c>
      <c r="B12" s="126" t="s">
        <v>242</v>
      </c>
      <c r="C12" s="135">
        <v>2276466</v>
      </c>
      <c r="D12" s="135">
        <f>1930430+603148+100000</f>
        <v>2633578</v>
      </c>
      <c r="E12" s="128" t="s">
        <v>241</v>
      </c>
      <c r="F12" s="156"/>
      <c r="G12" s="156"/>
    </row>
    <row r="13" spans="1:7" ht="14.25" x14ac:dyDescent="0.2">
      <c r="A13" s="129"/>
      <c r="B13" s="129"/>
      <c r="C13" s="129"/>
      <c r="D13" s="130"/>
      <c r="E13" s="131"/>
      <c r="F13" s="156"/>
      <c r="G13" s="156"/>
    </row>
    <row r="14" spans="1:7" ht="15" x14ac:dyDescent="0.25">
      <c r="A14" s="324" t="s">
        <v>163</v>
      </c>
      <c r="B14" s="323"/>
      <c r="C14" s="323"/>
      <c r="D14" s="323"/>
      <c r="E14" s="323"/>
      <c r="F14" s="156"/>
      <c r="G14" s="156"/>
    </row>
    <row r="15" spans="1:7" ht="14.25" x14ac:dyDescent="0.2">
      <c r="A15" s="156"/>
      <c r="B15" s="126" t="s">
        <v>243</v>
      </c>
      <c r="C15" s="135">
        <v>2700000</v>
      </c>
      <c r="D15" s="135">
        <v>2848500</v>
      </c>
      <c r="E15" s="127" t="s">
        <v>241</v>
      </c>
      <c r="F15" s="156"/>
      <c r="G15" s="156"/>
    </row>
    <row r="16" spans="1:7" ht="14.25" x14ac:dyDescent="0.2">
      <c r="A16" s="156"/>
      <c r="B16" s="126" t="s">
        <v>154</v>
      </c>
      <c r="C16" s="135">
        <v>0</v>
      </c>
      <c r="D16" s="135">
        <v>0</v>
      </c>
      <c r="E16" s="128"/>
      <c r="F16" s="156"/>
      <c r="G16" s="156"/>
    </row>
    <row r="17" spans="1:5" ht="14.25" x14ac:dyDescent="0.2">
      <c r="A17" s="129"/>
      <c r="B17" s="129"/>
      <c r="C17" s="129"/>
      <c r="D17" s="130"/>
      <c r="E17" s="131"/>
    </row>
    <row r="18" spans="1:5" ht="15" x14ac:dyDescent="0.25">
      <c r="A18" s="324" t="s">
        <v>164</v>
      </c>
      <c r="B18" s="323"/>
      <c r="C18" s="323"/>
      <c r="D18" s="323"/>
      <c r="E18" s="323"/>
    </row>
    <row r="19" spans="1:5" ht="14.25" x14ac:dyDescent="0.2">
      <c r="A19" s="156"/>
      <c r="B19" s="126" t="s">
        <v>244</v>
      </c>
      <c r="C19" s="135">
        <v>1031000</v>
      </c>
      <c r="D19" s="135">
        <f>243705+844000</f>
        <v>1087705</v>
      </c>
      <c r="E19" s="127" t="s">
        <v>241</v>
      </c>
    </row>
    <row r="20" spans="1:5" ht="14.25" x14ac:dyDescent="0.2">
      <c r="A20" s="156"/>
      <c r="B20" s="126" t="s">
        <v>154</v>
      </c>
      <c r="C20" s="135">
        <v>0</v>
      </c>
      <c r="D20" s="135">
        <v>0</v>
      </c>
      <c r="E20" s="128"/>
    </row>
    <row r="21" spans="1:5" ht="14.25" x14ac:dyDescent="0.2">
      <c r="A21" s="129"/>
      <c r="B21" s="129"/>
      <c r="C21" s="129"/>
      <c r="D21" s="130"/>
      <c r="E21" s="131"/>
    </row>
    <row r="22" spans="1:5" ht="15" x14ac:dyDescent="0.25">
      <c r="A22" s="324" t="s">
        <v>165</v>
      </c>
      <c r="B22" s="323"/>
      <c r="C22" s="323"/>
      <c r="D22" s="323"/>
      <c r="E22" s="323"/>
    </row>
    <row r="23" spans="1:5" ht="14.25" x14ac:dyDescent="0.2">
      <c r="A23" s="156"/>
      <c r="B23" s="126" t="s">
        <v>245</v>
      </c>
      <c r="C23" s="135">
        <v>850000</v>
      </c>
      <c r="D23" s="145">
        <v>896750</v>
      </c>
      <c r="E23" s="146" t="s">
        <v>246</v>
      </c>
    </row>
    <row r="24" spans="1:5" ht="14.25" x14ac:dyDescent="0.2">
      <c r="A24" s="156"/>
      <c r="B24" s="126" t="s">
        <v>154</v>
      </c>
      <c r="C24" s="135">
        <v>0</v>
      </c>
      <c r="D24" s="135">
        <v>0</v>
      </c>
      <c r="E24" s="128"/>
    </row>
    <row r="25" spans="1:5" ht="14.25" x14ac:dyDescent="0.2">
      <c r="A25" s="129"/>
      <c r="B25" s="129"/>
      <c r="C25" s="129"/>
      <c r="D25" s="130"/>
      <c r="E25" s="131"/>
    </row>
    <row r="26" spans="1:5" ht="15" x14ac:dyDescent="0.25">
      <c r="A26" s="324" t="s">
        <v>166</v>
      </c>
      <c r="B26" s="323"/>
      <c r="C26" s="323"/>
      <c r="D26" s="323"/>
      <c r="E26" s="323"/>
    </row>
    <row r="27" spans="1:5" ht="14.25" x14ac:dyDescent="0.2">
      <c r="A27" s="156"/>
      <c r="B27" s="126" t="s">
        <v>247</v>
      </c>
      <c r="C27" s="135">
        <v>566483</v>
      </c>
      <c r="D27" s="135">
        <v>500000</v>
      </c>
      <c r="E27" s="127" t="s">
        <v>248</v>
      </c>
    </row>
    <row r="28" spans="1:5" ht="14.25" x14ac:dyDescent="0.2">
      <c r="A28" s="156"/>
      <c r="B28" s="126" t="s">
        <v>154</v>
      </c>
      <c r="C28" s="135">
        <v>0</v>
      </c>
      <c r="D28" s="135">
        <v>0</v>
      </c>
      <c r="E28" s="128"/>
    </row>
    <row r="29" spans="1:5" ht="14.25" x14ac:dyDescent="0.2">
      <c r="A29" s="129"/>
      <c r="B29" s="129"/>
      <c r="C29" s="129"/>
      <c r="D29" s="130"/>
      <c r="E29" s="131"/>
    </row>
    <row r="30" spans="1:5" ht="15" x14ac:dyDescent="0.25">
      <c r="A30" s="324" t="s">
        <v>167</v>
      </c>
      <c r="B30" s="323"/>
      <c r="C30" s="323"/>
      <c r="D30" s="323"/>
      <c r="E30" s="323"/>
    </row>
    <row r="31" spans="1:5" ht="14.25" x14ac:dyDescent="0.2">
      <c r="A31" s="156"/>
      <c r="B31" s="126" t="s">
        <v>249</v>
      </c>
      <c r="C31" s="135">
        <v>0</v>
      </c>
      <c r="D31" s="135">
        <v>0</v>
      </c>
      <c r="E31" s="127"/>
    </row>
    <row r="32" spans="1:5" ht="14.25" x14ac:dyDescent="0.2">
      <c r="A32" s="156"/>
      <c r="B32" s="126" t="s">
        <v>154</v>
      </c>
      <c r="C32" s="135">
        <v>0</v>
      </c>
      <c r="D32" s="135">
        <v>0</v>
      </c>
      <c r="E32" s="128"/>
    </row>
    <row r="33" spans="1:5" x14ac:dyDescent="0.2">
      <c r="A33" s="132"/>
      <c r="B33" s="132"/>
      <c r="C33" s="132"/>
      <c r="D33" s="132"/>
      <c r="E33" s="133"/>
    </row>
    <row r="34" spans="1:5" ht="15" x14ac:dyDescent="0.25">
      <c r="A34" s="324" t="s">
        <v>168</v>
      </c>
      <c r="B34" s="324"/>
      <c r="C34" s="143">
        <f>SUM(C10:C33)</f>
        <v>40780094</v>
      </c>
      <c r="D34" s="143">
        <f>SUM(D10:D33)</f>
        <v>47661676</v>
      </c>
      <c r="E34" s="144"/>
    </row>
    <row r="35" spans="1:5" x14ac:dyDescent="0.2">
      <c r="A35" s="134"/>
      <c r="B35" s="134"/>
      <c r="C35" s="134"/>
      <c r="D35" s="134"/>
      <c r="E35" s="134"/>
    </row>
    <row r="36" spans="1:5" x14ac:dyDescent="0.2">
      <c r="A36" s="322"/>
      <c r="B36" s="323"/>
      <c r="C36" s="323"/>
      <c r="D36" s="323"/>
      <c r="E36" s="323"/>
    </row>
  </sheetData>
  <sheetProtection algorithmName="SHA-512" hashValue="PvBNX5/QqWg8qychgXQ8HXDVuZ3DR8bp37TOKDO9ds9iz715u2Db6+MuZRNlwaftxDuZdrKx+uxHAp9LFCVAEg==" saltValue="rU1cgY0XPhHjhBI5KJEypA==" spinCount="100000" sheet="1" objects="1" scenarios="1"/>
  <mergeCells count="11">
    <mergeCell ref="A2:E2"/>
    <mergeCell ref="A4:E4"/>
    <mergeCell ref="A6:B6"/>
    <mergeCell ref="A10:E10"/>
    <mergeCell ref="A18:E18"/>
    <mergeCell ref="A36:E36"/>
    <mergeCell ref="A30:E30"/>
    <mergeCell ref="A34:B34"/>
    <mergeCell ref="A14:E14"/>
    <mergeCell ref="A26:E26"/>
    <mergeCell ref="A22:E22"/>
  </mergeCells>
  <pageMargins left="0.7" right="0.7" top="0.75" bottom="0.75" header="0.3" footer="0.3"/>
  <pageSetup scale="79" firstPageNumber="8" orientation="portrait" r:id="rId1"/>
  <headerFooter>
    <oddFooter>&amp;LCity of Santa Monica
Exhibit C1 - Program Budget&amp;C&amp;P&amp;RFiscal Year 2022-23
Human Services Grants Program</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Elizabeth Scharetg</DisplayName>
        <AccountId>92</AccountId>
        <AccountType/>
      </UserInfo>
      <UserInfo>
        <DisplayName>Margaret Willis</DisplayName>
        <AccountId>73</AccountId>
        <AccountType/>
      </UserInfo>
      <UserInfo>
        <DisplayName>Natasha Guest Kingscote</DisplayName>
        <AccountId>31</AccountId>
        <AccountType/>
      </UserInfo>
      <UserInfo>
        <DisplayName>Aliya Buttar</DisplayName>
        <AccountId>18</AccountId>
        <AccountType/>
      </UserInfo>
      <UserInfo>
        <DisplayName>Marc Amaral</DisplayName>
        <AccountId>26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E7C5B6D2-E84E-4E44-B677-5EFD2D6AA7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PROGRAM BUDGET &amp; FISCAL REPORT</vt:lpstr>
      <vt:lpstr>PARTICIPANTS &amp; DEMOGRAPHICS</vt:lpstr>
      <vt:lpstr>CASH MATCH</vt:lpstr>
      <vt:lpstr>AGENCY FUNDING SOURCES</vt:lpstr>
      <vt:lpstr>'AGENCY FUNDING SOURCES'!Print_Area</vt:lpstr>
      <vt:lpstr>'PARTICIPANTS &amp; DEMOGRAPHICS'!Print_Area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2023-12-19T22:19:17Z</cp:lastPrinted>
  <dcterms:created xsi:type="dcterms:W3CDTF">1999-10-15T17:33:56Z</dcterms:created>
  <dcterms:modified xsi:type="dcterms:W3CDTF">2023-12-19T22:20:25Z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b59efe5c2bdb4be280cd2180b6581de2</vt:lpwstr>
  </property>
  <property fmtid="{D5CDD505-2E9C-101B-9397-08002B2CF9AE}" pid="11" name="MediaServiceImageTags">
    <vt:lpwstr/>
  </property>
</Properties>
</file>