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70" documentId="13_ncr:1_{23EFC292-1A77-45DC-BDE7-CD519CABD060}" xr6:coauthVersionLast="46" xr6:coauthVersionMax="47" xr10:uidLastSave="{55389E85-BFFC-46BF-A5FD-76536DBE83B2}"/>
  <workbookProtection workbookAlgorithmName="SHA-512" workbookHashValue="BPlfY2Re7O/8TAFskC3Qx/iScQaoNQ8VHN8/0K+faeND5Ln66BAdIcr4QBrtEUMpClPOVK09Lsk5EImiiUSQiw==" workbookSaltValue="eOXvvkQIqIq3QrxcLASPuw==" workbookSpinCount="100000" lockStructure="1"/>
  <bookViews>
    <workbookView xWindow="-120" yWindow="-120" windowWidth="29040" windowHeight="15840" xr2:uid="{00000000-000D-0000-FFFF-FFFF00000000}"/>
  </bookViews>
  <sheets>
    <sheet name="INSTRUCTIONS" sheetId="32"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SOURCES'!$A$1:$E$55</definedName>
    <definedName name="_xlnm.Print_Area" localSheetId="2">'PARTICIPANTS &amp; DEMOGRAPHICS'!$A$1:$F$50</definedName>
    <definedName name="_xlnm.Print_Area" localSheetId="1">'PROGRAM BUDGET &amp; FISCAL REPORT'!$A$1:$N$163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0" i="19" l="1"/>
  <c r="K60" i="19"/>
  <c r="J60" i="19"/>
  <c r="J63" i="19" s="1"/>
  <c r="H60" i="19"/>
  <c r="G60" i="19"/>
  <c r="N58" i="19"/>
  <c r="K58" i="19"/>
  <c r="K63" i="19" s="1"/>
  <c r="J58" i="19"/>
  <c r="H58" i="19"/>
  <c r="H63" i="19" s="1"/>
  <c r="G58" i="19"/>
  <c r="G63" i="19" s="1"/>
  <c r="D60" i="19"/>
  <c r="D63" i="19" s="1"/>
  <c r="D58" i="19"/>
  <c r="K146" i="19"/>
  <c r="J149" i="19"/>
  <c r="K149" i="19" s="1"/>
  <c r="J146" i="19"/>
  <c r="B13" i="19"/>
  <c r="K143" i="19"/>
  <c r="J143" i="19"/>
  <c r="K142" i="19"/>
  <c r="J142" i="19"/>
  <c r="N63" i="19" l="1"/>
  <c r="L143" i="19"/>
  <c r="C111" i="19" l="1"/>
  <c r="C102" i="19"/>
  <c r="C101" i="19"/>
  <c r="C100" i="19"/>
  <c r="C99" i="19"/>
  <c r="C98" i="19"/>
  <c r="C97" i="19"/>
  <c r="C96" i="19"/>
  <c r="C95" i="19"/>
  <c r="C93" i="19"/>
  <c r="C92" i="19"/>
  <c r="C91" i="19"/>
  <c r="C89" i="19"/>
  <c r="C88" i="19"/>
  <c r="C87" i="19"/>
  <c r="C79" i="19"/>
  <c r="L49" i="19" l="1"/>
  <c r="M49" i="19" s="1"/>
  <c r="I49" i="19"/>
  <c r="L48" i="19"/>
  <c r="M48" i="19" s="1"/>
  <c r="I48" i="19"/>
  <c r="L47" i="19"/>
  <c r="M47" i="19" s="1"/>
  <c r="I47" i="19"/>
  <c r="L46" i="19"/>
  <c r="M46" i="19" s="1"/>
  <c r="I46" i="19"/>
  <c r="L45" i="19"/>
  <c r="M45" i="19" s="1"/>
  <c r="I45" i="19"/>
  <c r="L44" i="19"/>
  <c r="M44" i="19" s="1"/>
  <c r="I44" i="19"/>
  <c r="L43" i="19"/>
  <c r="M43" i="19" s="1"/>
  <c r="I43" i="19"/>
  <c r="L42" i="19"/>
  <c r="M42" i="19" s="1"/>
  <c r="I42" i="19"/>
  <c r="L41" i="19"/>
  <c r="M41" i="19" s="1"/>
  <c r="I41" i="19"/>
  <c r="L59" i="19"/>
  <c r="I59" i="19"/>
  <c r="I60" i="19" s="1"/>
  <c r="L114" i="19"/>
  <c r="M114" i="19" s="1"/>
  <c r="I114" i="19"/>
  <c r="L113" i="19"/>
  <c r="M113" i="19" s="1"/>
  <c r="I113" i="19"/>
  <c r="L96" i="19"/>
  <c r="M96" i="19" s="1"/>
  <c r="I96" i="19"/>
  <c r="L95" i="19"/>
  <c r="M95" i="19" s="1"/>
  <c r="I95" i="19"/>
  <c r="L94" i="19"/>
  <c r="M94" i="19" s="1"/>
  <c r="I94" i="19"/>
  <c r="L93" i="19"/>
  <c r="M93" i="19" s="1"/>
  <c r="I93" i="19"/>
  <c r="L92" i="19"/>
  <c r="M92" i="19" s="1"/>
  <c r="I92" i="19"/>
  <c r="L91" i="19"/>
  <c r="M91" i="19" s="1"/>
  <c r="I91" i="19"/>
  <c r="L90" i="19"/>
  <c r="M90" i="19" s="1"/>
  <c r="I90" i="19"/>
  <c r="L50" i="19"/>
  <c r="M50" i="19" s="1"/>
  <c r="I50" i="19"/>
  <c r="L40" i="19"/>
  <c r="M40" i="19" s="1"/>
  <c r="I40" i="19"/>
  <c r="L39" i="19"/>
  <c r="M39" i="19" s="1"/>
  <c r="I39" i="19"/>
  <c r="L38" i="19"/>
  <c r="M38" i="19" s="1"/>
  <c r="I38" i="19"/>
  <c r="L37" i="19"/>
  <c r="M37" i="19" s="1"/>
  <c r="I37" i="19"/>
  <c r="L36" i="19"/>
  <c r="M36" i="19" s="1"/>
  <c r="I36" i="19"/>
  <c r="L35" i="19"/>
  <c r="M35" i="19" s="1"/>
  <c r="I35" i="19"/>
  <c r="L34" i="19"/>
  <c r="M34" i="19" s="1"/>
  <c r="I34" i="19"/>
  <c r="L33" i="19"/>
  <c r="M33" i="19" s="1"/>
  <c r="I33" i="19"/>
  <c r="L32" i="19"/>
  <c r="M32" i="19" s="1"/>
  <c r="I32" i="19"/>
  <c r="L31" i="19"/>
  <c r="M31" i="19" s="1"/>
  <c r="I31" i="19"/>
  <c r="L30" i="19"/>
  <c r="M30" i="19" s="1"/>
  <c r="I30" i="19"/>
  <c r="L29" i="19"/>
  <c r="M29" i="19" s="1"/>
  <c r="I29" i="19"/>
  <c r="L28" i="19"/>
  <c r="M28" i="19" s="1"/>
  <c r="I28" i="19"/>
  <c r="L62" i="19"/>
  <c r="M62" i="19" s="1"/>
  <c r="I62" i="19"/>
  <c r="L61" i="19"/>
  <c r="M61" i="19" s="1"/>
  <c r="I61" i="19"/>
  <c r="L57" i="19"/>
  <c r="M57" i="19" s="1"/>
  <c r="I57" i="19"/>
  <c r="L56" i="19"/>
  <c r="M56" i="19" s="1"/>
  <c r="I56" i="19"/>
  <c r="L55" i="19"/>
  <c r="M55" i="19" s="1"/>
  <c r="I55" i="19"/>
  <c r="L54" i="19"/>
  <c r="M54" i="19" s="1"/>
  <c r="I54" i="19"/>
  <c r="L53" i="19"/>
  <c r="M53" i="19" s="1"/>
  <c r="I53" i="19"/>
  <c r="L52" i="19"/>
  <c r="M52" i="19" s="1"/>
  <c r="I52" i="19"/>
  <c r="L51" i="19"/>
  <c r="M51" i="19" s="1"/>
  <c r="I51" i="19"/>
  <c r="K160" i="19"/>
  <c r="J160" i="19"/>
  <c r="I160" i="19"/>
  <c r="M59" i="19" l="1"/>
  <c r="L60" i="19"/>
  <c r="M60" i="19" s="1"/>
  <c r="E8" i="14"/>
  <c r="E7" i="14"/>
  <c r="C8" i="14"/>
  <c r="C7" i="14"/>
  <c r="C4" i="14" l="1"/>
  <c r="C3" i="14"/>
  <c r="N115" i="19"/>
  <c r="I130" i="19"/>
  <c r="C53" i="30" l="1"/>
  <c r="D53" i="30"/>
  <c r="D13" i="19" l="1"/>
  <c r="D12" i="19"/>
  <c r="D11" i="19"/>
  <c r="D10" i="19"/>
  <c r="D9" i="19"/>
  <c r="L159" i="19" l="1"/>
  <c r="L158" i="19"/>
  <c r="L156" i="19"/>
  <c r="L155" i="19"/>
  <c r="L153" i="19"/>
  <c r="L152" i="19"/>
  <c r="L150" i="19"/>
  <c r="L149" i="19"/>
  <c r="L147" i="19"/>
  <c r="L146" i="19"/>
  <c r="L144" i="19"/>
  <c r="L142" i="19"/>
  <c r="D8" i="19"/>
  <c r="D7" i="19"/>
  <c r="D6" i="19"/>
  <c r="L160" i="19" l="1"/>
  <c r="N132" i="19"/>
  <c r="K132" i="19"/>
  <c r="J132" i="19"/>
  <c r="F131" i="19"/>
  <c r="H132" i="19"/>
  <c r="G132" i="19"/>
  <c r="L131" i="19"/>
  <c r="M131" i="19" s="1"/>
  <c r="I131" i="19"/>
  <c r="I132" i="19" s="1"/>
  <c r="I12" i="19" s="1"/>
  <c r="H74" i="19"/>
  <c r="H7" i="19" s="1"/>
  <c r="G74" i="19"/>
  <c r="G7" i="19" s="1"/>
  <c r="G6" i="19"/>
  <c r="I122" i="19"/>
  <c r="I121" i="19"/>
  <c r="I120" i="19"/>
  <c r="I112" i="19"/>
  <c r="I111" i="19"/>
  <c r="I105" i="19"/>
  <c r="I104" i="19"/>
  <c r="I103" i="19"/>
  <c r="I102" i="19"/>
  <c r="I101" i="19"/>
  <c r="I100" i="19"/>
  <c r="I99" i="19"/>
  <c r="I98" i="19"/>
  <c r="I97" i="19"/>
  <c r="I89" i="19"/>
  <c r="I88" i="19"/>
  <c r="I87" i="19"/>
  <c r="L122" i="19"/>
  <c r="M122" i="19" s="1"/>
  <c r="L121" i="19"/>
  <c r="M121" i="19" s="1"/>
  <c r="L112" i="19"/>
  <c r="M112" i="19" s="1"/>
  <c r="L105" i="19"/>
  <c r="M105" i="19" s="1"/>
  <c r="L104" i="19"/>
  <c r="M104" i="19" s="1"/>
  <c r="L103" i="19"/>
  <c r="M103" i="19" s="1"/>
  <c r="L102" i="19"/>
  <c r="M102" i="19" s="1"/>
  <c r="L101" i="19"/>
  <c r="M101" i="19" s="1"/>
  <c r="L100" i="19"/>
  <c r="M100" i="19" s="1"/>
  <c r="L99" i="19"/>
  <c r="M99" i="19" s="1"/>
  <c r="L98" i="19"/>
  <c r="M98" i="19" s="1"/>
  <c r="L97" i="19"/>
  <c r="M97" i="19" s="1"/>
  <c r="L89" i="19"/>
  <c r="M89" i="19" s="1"/>
  <c r="I80" i="19"/>
  <c r="L80" i="19"/>
  <c r="M80" i="19" s="1"/>
  <c r="I81" i="19"/>
  <c r="L81" i="19"/>
  <c r="M81" i="19" s="1"/>
  <c r="I69" i="19"/>
  <c r="L69" i="19"/>
  <c r="I70" i="19"/>
  <c r="L70" i="19"/>
  <c r="M70" i="19" s="1"/>
  <c r="I71" i="19"/>
  <c r="L71" i="19"/>
  <c r="M71" i="19" s="1"/>
  <c r="I72" i="19"/>
  <c r="L72" i="19"/>
  <c r="M72" i="19" s="1"/>
  <c r="I73" i="19"/>
  <c r="L73" i="19"/>
  <c r="M73" i="19" s="1"/>
  <c r="I27" i="19"/>
  <c r="I58" i="19" s="1"/>
  <c r="I63" i="19" s="1"/>
  <c r="I68" i="19"/>
  <c r="G106" i="19"/>
  <c r="G9" i="19" s="1"/>
  <c r="N6" i="19"/>
  <c r="N74" i="19"/>
  <c r="N7" i="19" s="1"/>
  <c r="N82" i="19"/>
  <c r="N8" i="19" s="1"/>
  <c r="N106" i="19"/>
  <c r="N9" i="19" s="1"/>
  <c r="J115" i="19"/>
  <c r="J10" i="19" s="1"/>
  <c r="K115" i="19"/>
  <c r="K10" i="19" s="1"/>
  <c r="N123" i="19"/>
  <c r="N11" i="19" s="1"/>
  <c r="L27" i="19"/>
  <c r="L68" i="19"/>
  <c r="M68" i="19" s="1"/>
  <c r="B4" i="14"/>
  <c r="B3" i="14"/>
  <c r="G82" i="19"/>
  <c r="G8" i="19" s="1"/>
  <c r="G115" i="19"/>
  <c r="G10" i="19" s="1"/>
  <c r="G123" i="19"/>
  <c r="G11" i="19" s="1"/>
  <c r="H82" i="19"/>
  <c r="H8" i="19" s="1"/>
  <c r="H106" i="19"/>
  <c r="H9" i="19" s="1"/>
  <c r="H115" i="19"/>
  <c r="H10" i="19" s="1"/>
  <c r="H123" i="19"/>
  <c r="H11" i="19" s="1"/>
  <c r="L79" i="19"/>
  <c r="M79" i="19" s="1"/>
  <c r="I79" i="19"/>
  <c r="L88" i="19"/>
  <c r="M88" i="19" s="1"/>
  <c r="L130" i="19"/>
  <c r="M130" i="19" s="1"/>
  <c r="K123" i="19"/>
  <c r="K11" i="19" s="1"/>
  <c r="J123" i="19"/>
  <c r="J11" i="19" s="1"/>
  <c r="L120" i="19"/>
  <c r="M120" i="19" s="1"/>
  <c r="L111" i="19"/>
  <c r="M111" i="19" s="1"/>
  <c r="L87" i="19"/>
  <c r="M87" i="19" s="1"/>
  <c r="K106" i="19"/>
  <c r="K9" i="19" s="1"/>
  <c r="J106" i="19"/>
  <c r="J9" i="19" s="1"/>
  <c r="K82" i="19"/>
  <c r="K8" i="19" s="1"/>
  <c r="J82" i="19"/>
  <c r="J8" i="19" s="1"/>
  <c r="K74" i="19"/>
  <c r="K7" i="19" s="1"/>
  <c r="J74" i="19"/>
  <c r="J7" i="19" s="1"/>
  <c r="K6" i="19"/>
  <c r="M27" i="19" l="1"/>
  <c r="L58" i="19"/>
  <c r="J6" i="19"/>
  <c r="C69" i="19"/>
  <c r="C70" i="19"/>
  <c r="C71" i="19"/>
  <c r="C68" i="19"/>
  <c r="H6" i="19"/>
  <c r="G134" i="19"/>
  <c r="G13" i="19" s="1"/>
  <c r="B9" i="26" s="1"/>
  <c r="G12" i="19"/>
  <c r="H134" i="19"/>
  <c r="H13" i="19" s="1"/>
  <c r="D12" i="14" s="1"/>
  <c r="C16" i="14" s="1"/>
  <c r="H12" i="19"/>
  <c r="N12" i="19"/>
  <c r="J12" i="19"/>
  <c r="J134" i="19"/>
  <c r="J13" i="19" s="1"/>
  <c r="K12" i="19"/>
  <c r="K134" i="19"/>
  <c r="K13" i="19" s="1"/>
  <c r="E9" i="14"/>
  <c r="C9" i="14"/>
  <c r="I106" i="19"/>
  <c r="I9" i="19" s="1"/>
  <c r="I115" i="19"/>
  <c r="I10" i="19" s="1"/>
  <c r="N10" i="19"/>
  <c r="I82" i="19"/>
  <c r="I8" i="19" s="1"/>
  <c r="I74" i="19"/>
  <c r="I7" i="19" s="1"/>
  <c r="I6" i="19"/>
  <c r="L74" i="19"/>
  <c r="M74" i="19" s="1"/>
  <c r="I123" i="19"/>
  <c r="L106" i="19"/>
  <c r="L132" i="19"/>
  <c r="L12" i="19" s="1"/>
  <c r="L82" i="19"/>
  <c r="M82" i="19" s="1"/>
  <c r="L115" i="19"/>
  <c r="L10" i="19" s="1"/>
  <c r="M10" i="19" s="1"/>
  <c r="L123" i="19"/>
  <c r="M69" i="19"/>
  <c r="M58" i="19" l="1"/>
  <c r="L63" i="19"/>
  <c r="L6" i="19" s="1"/>
  <c r="M6" i="19" s="1"/>
  <c r="B50" i="26"/>
  <c r="C12" i="14"/>
  <c r="C15" i="14" s="1"/>
  <c r="D15" i="14" s="1"/>
  <c r="M12" i="19"/>
  <c r="F130" i="19"/>
  <c r="N134" i="19"/>
  <c r="N13" i="19" s="1"/>
  <c r="I11" i="19"/>
  <c r="I134" i="19"/>
  <c r="I13" i="19" s="1"/>
  <c r="M123" i="19"/>
  <c r="L11" i="19"/>
  <c r="M11" i="19" s="1"/>
  <c r="M106" i="19"/>
  <c r="L9" i="19"/>
  <c r="M9" i="19" s="1"/>
  <c r="L7" i="19"/>
  <c r="M7" i="19" s="1"/>
  <c r="M115" i="19"/>
  <c r="L8" i="19"/>
  <c r="M8" i="19" s="1"/>
  <c r="M132" i="19"/>
  <c r="M63" i="19" l="1"/>
  <c r="L134" i="19"/>
  <c r="L13" i="19" s="1"/>
  <c r="M160" i="19" s="1"/>
  <c r="C9" i="26"/>
  <c r="B14" i="19"/>
  <c r="C50" i="26"/>
  <c r="E12" i="14"/>
  <c r="E15" i="14" s="1"/>
  <c r="F15" i="14" s="1"/>
  <c r="M13" i="19"/>
  <c r="F12" i="14"/>
  <c r="M134" i="19"/>
  <c r="D16" i="14"/>
  <c r="C18" i="14"/>
  <c r="D18" i="14" s="1"/>
  <c r="E16" i="14" l="1"/>
  <c r="E18" i="14" s="1"/>
  <c r="N160" i="19"/>
  <c r="B15" i="19"/>
  <c r="F16" i="14" l="1"/>
  <c r="F18" i="14"/>
</calcChain>
</file>

<file path=xl/sharedStrings.xml><?xml version="1.0" encoding="utf-8"?>
<sst xmlns="http://schemas.openxmlformats.org/spreadsheetml/2006/main" count="462" uniqueCount="297">
  <si>
    <t>FY 2022-23 HSGP Exhibit C2</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</si>
  <si>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</si>
  <si>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</si>
  <si>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</si>
  <si>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</si>
  <si>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</si>
  <si>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</si>
  <si>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</si>
  <si>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</si>
  <si>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</si>
  <si>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</si>
  <si>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</si>
  <si>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</si>
  <si>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</si>
  <si>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</si>
  <si>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</si>
  <si>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</si>
  <si>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</si>
  <si>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</si>
  <si>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</si>
  <si>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</si>
  <si>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</si>
  <si>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</si>
  <si>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</si>
  <si>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</si>
  <si>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</si>
  <si>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</si>
  <si>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</si>
  <si>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</si>
  <si>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</si>
  <si>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</si>
  <si>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</si>
  <si>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</si>
  <si>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</si>
  <si>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</si>
  <si>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</si>
  <si>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</si>
  <si>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</si>
  <si>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</si>
  <si>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</si>
  <si>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</si>
  <si>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</si>
  <si>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</si>
  <si>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</si>
  <si>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</si>
  <si>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</si>
  <si>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</si>
  <si>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</si>
  <si>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The People Concern</t>
  </si>
  <si>
    <t>PROGRAM NAME:</t>
  </si>
  <si>
    <t>Cloverfield Services Center</t>
  </si>
  <si>
    <t>REPORTING PERIOD:</t>
  </si>
  <si>
    <t>FY 2022-23 Program Budget: 7/1/22-6/30/23</t>
  </si>
  <si>
    <t>A. Total City Funds Disbursed to Date:</t>
  </si>
  <si>
    <t>B. Total City Funds Expended to Date:</t>
  </si>
  <si>
    <t>C. Cash Balance (Line A - Line B):</t>
  </si>
  <si>
    <t>Senior/Executive Management</t>
  </si>
  <si>
    <t>Federal</t>
  </si>
  <si>
    <t>Mid-Year Report (1st Period): 7/1/22 - 12/31/22</t>
  </si>
  <si>
    <t>Administrative Support</t>
  </si>
  <si>
    <t>State</t>
  </si>
  <si>
    <t>Year-End Report (2nd Period): 1/1/23 - 6/30/23</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</si>
  <si>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</si>
  <si>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</si>
  <si>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</si>
  <si>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</si>
  <si>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</si>
  <si>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</si>
  <si>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</si>
  <si>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</si>
  <si>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</si>
  <si>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Moreno, Heidi</t>
  </si>
  <si>
    <t>Assistant Director, Interim Housing</t>
  </si>
  <si>
    <t>Ramirez, Santiago</t>
  </si>
  <si>
    <t>Assistant, Food Services</t>
  </si>
  <si>
    <t>Bernard, Jerresha</t>
  </si>
  <si>
    <t>Case Manager, Inreach</t>
  </si>
  <si>
    <t>Bernabe, Shantalle</t>
  </si>
  <si>
    <t>Case Manager, Interim Housing</t>
  </si>
  <si>
    <t>Hines-Morgan, Jerri Elaine</t>
  </si>
  <si>
    <t>Archibald, Christopher</t>
  </si>
  <si>
    <t>Director, Food Services</t>
  </si>
  <si>
    <t>Lillquist, Erica Ryun; Nalumansi, Florence</t>
  </si>
  <si>
    <t>Director, Interim Housing</t>
  </si>
  <si>
    <t>Castillo Martinez, Teresa</t>
  </si>
  <si>
    <t>Facilities Maintenance Engineer I</t>
  </si>
  <si>
    <t>Cortez, Felicitas</t>
  </si>
  <si>
    <t>Elias, Sonia  B.</t>
  </si>
  <si>
    <t>Flores Pacheco, Jorge R.</t>
  </si>
  <si>
    <t>Facilities Maintenance Engineer II</t>
  </si>
  <si>
    <t>Harris, Jacqueline Elaine</t>
  </si>
  <si>
    <t>Line Cook</t>
  </si>
  <si>
    <t>Burrell, Lisa Delores</t>
  </si>
  <si>
    <t>Manager, Food Services</t>
  </si>
  <si>
    <t>Clemons, Cynthia Brittany</t>
  </si>
  <si>
    <t xml:space="preserve">Manager, Residential </t>
  </si>
  <si>
    <t>Harrison, Marlene</t>
  </si>
  <si>
    <t>Receptionist</t>
  </si>
  <si>
    <t>Myvett, Shareipha Tishaun</t>
  </si>
  <si>
    <t>Senior Director, Interim Housing</t>
  </si>
  <si>
    <t>Bolian, Sandra A.</t>
  </si>
  <si>
    <t>Support Specialist</t>
  </si>
  <si>
    <t>Ciano, Vincent Alexander</t>
  </si>
  <si>
    <t>Clark, Teneij Tamera</t>
  </si>
  <si>
    <t>Foreman, Caroline</t>
  </si>
  <si>
    <t>Gachucha, Catherine N</t>
  </si>
  <si>
    <t>Mcmillan, Loveda</t>
  </si>
  <si>
    <t>Turner, Jason T</t>
  </si>
  <si>
    <t>Vasquez, Abel</t>
  </si>
  <si>
    <t>Widby, Arzigianna Letrice</t>
  </si>
  <si>
    <t>Inouye, Robin</t>
  </si>
  <si>
    <t>Lyles, Regine</t>
  </si>
  <si>
    <t>Smith, Brittney</t>
  </si>
  <si>
    <t>White, Daronda</t>
  </si>
  <si>
    <t>Minifield, Gregory</t>
  </si>
  <si>
    <t>Vacant</t>
  </si>
  <si>
    <t>Mohamed, Fadumo Omar</t>
  </si>
  <si>
    <t>1A.  Staff Salaries TOTAL</t>
  </si>
  <si>
    <t>1B.  Staff Fringe Benefits</t>
  </si>
  <si>
    <t>List each fringe benefit as a percentage of total staff salaries listed above (FICA, SUI, Workers’ Compensation, Medical Insurance, Retirement, etc.).</t>
  </si>
  <si>
    <t>Description</t>
  </si>
  <si>
    <t>Worker's Compensation</t>
  </si>
  <si>
    <t>2.43% of staff salaries</t>
  </si>
  <si>
    <t>S.U.I.</t>
  </si>
  <si>
    <t>0.83% of staff salaries</t>
  </si>
  <si>
    <t>Health Insurance</t>
  </si>
  <si>
    <t>12.16% of staff salaries Full Time Staff Covered (based on actual costs)</t>
  </si>
  <si>
    <t>FICA/Medicare</t>
  </si>
  <si>
    <t>7.65% of staff salaries</t>
  </si>
  <si>
    <t>1B.  Staff Fringe Benefits TOTAL</t>
  </si>
  <si>
    <t>2.  Consultant Services</t>
  </si>
  <si>
    <t>List each consultant to be funded. Include type of service, total budgeted expense, and any additional information to suport the use of consultants as opposed to staff or volunteers.</t>
  </si>
  <si>
    <t>Consultant and Professionals</t>
  </si>
  <si>
    <t>Monthly budgeted cost per month x 12 months:</t>
  </si>
  <si>
    <t>2.  Consultant Services TOTAL</t>
  </si>
  <si>
    <t>3.  Operating Expenses</t>
  </si>
  <si>
    <t>List all operating expenses [e.g., space/rent expense, utilities, facilitiy maintenance, equipment, insurance, office supplies, printing, audit fees, travel, training, etc.].</t>
  </si>
  <si>
    <t>Repair &amp; Maintenance</t>
  </si>
  <si>
    <t>Physical repairs of facility and major systems. Monthly budgeted cost:</t>
  </si>
  <si>
    <t>Rent - Space</t>
  </si>
  <si>
    <t>Calculated on FTE basis. Annual rent/12 x Program FTEs x 12 months. Monthly budgeted cost:</t>
  </si>
  <si>
    <t>Janitorial &amp; Cleaning</t>
  </si>
  <si>
    <t>Cleaning and general upkeep of facility. Monthly budgeted cost:</t>
  </si>
  <si>
    <t>Equipment</t>
  </si>
  <si>
    <t>Training and Conferences</t>
  </si>
  <si>
    <t>Training and conferences - General skills training for staff - computer proficiency, management skills, etc. Monthly budgeted cost:</t>
  </si>
  <si>
    <t>Insurance(s)</t>
  </si>
  <si>
    <t xml:space="preserve">Supplies   </t>
  </si>
  <si>
    <t>Copy/Printing</t>
  </si>
  <si>
    <t>Laundry and Shower Supplies</t>
  </si>
  <si>
    <t>Food</t>
  </si>
  <si>
    <t xml:space="preserve">Computer and IT Supplies </t>
  </si>
  <si>
    <t>Staff Mileage and Parking</t>
  </si>
  <si>
    <t>Utilities</t>
  </si>
  <si>
    <t>Telephone / Internet</t>
  </si>
  <si>
    <t>Security</t>
  </si>
  <si>
    <t>Vehicle Insurance and Maint.</t>
  </si>
  <si>
    <t>Other and Miscellaneous Costs</t>
  </si>
  <si>
    <t>3.  Operating Expenses TOTAL</t>
  </si>
  <si>
    <t>4.  Direct Client Support</t>
  </si>
  <si>
    <t>List any expenses associated with direct service provision, individual client support, scholarships, or stipends. Include estimated number of recipients.</t>
  </si>
  <si>
    <t xml:space="preserve">Client Related Expense   </t>
  </si>
  <si>
    <t>Bus Tokens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</si>
  <si>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</si>
  <si>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</si>
  <si>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</si>
  <si>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</si>
  <si>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</si>
  <si>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</si>
  <si>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</si>
  <si>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</si>
  <si>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</si>
  <si>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</si>
  <si>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</si>
  <si>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</si>
  <si>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</si>
  <si>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</si>
  <si>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</si>
  <si>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</si>
  <si>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</si>
  <si>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</si>
  <si>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</si>
  <si>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</si>
  <si>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</si>
  <si>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</si>
  <si>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</si>
  <si>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LAC DMH BC</t>
  </si>
  <si>
    <t>LAHSA</t>
  </si>
  <si>
    <t>DMH</t>
  </si>
  <si>
    <t>2.  Private/Corporate Grants</t>
  </si>
  <si>
    <t>Private</t>
  </si>
  <si>
    <t>3.  Individual Donations</t>
  </si>
  <si>
    <t>Donations</t>
  </si>
  <si>
    <t>4.  Fundraising Events</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</si>
  <si>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</si>
  <si>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</si>
  <si>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</si>
  <si>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</si>
  <si>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</si>
  <si>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</si>
  <si>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</si>
  <si>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t>
  </si>
  <si>
    <t>Projected Total</t>
  </si>
  <si>
    <t>Mid-Year Actuals</t>
  </si>
  <si>
    <t>Year-End Actuals</t>
  </si>
  <si>
    <t>Total Unduplicated PP</t>
  </si>
  <si>
    <t>Total SMPP</t>
  </si>
  <si>
    <t>COST PER PARTICIPANT 
(Total Program Budget / Total Unduplicated Participants</t>
  </si>
  <si>
    <t>Year-End Actual</t>
  </si>
  <si>
    <t xml:space="preserve">Please also provide accurate complete demographic information as listed below by uploading an appropriate </t>
  </si>
  <si>
    <t>ServicePoint CCM report summary sheet via your agency’s SharePoint folder:</t>
  </si>
  <si>
    <t>Household ID (HH ID) and Head of Household (HoH)</t>
  </si>
  <si>
    <t xml:space="preserve">As required by LAHSA, each client must belong to a household, and each household must designate a Head of Household (HoH). </t>
  </si>
  <si>
    <t xml:space="preserve">Households must be created before an entry screen is completed. For households of more than one person, the household type </t>
  </si>
  <si>
    <t xml:space="preserve">must be chosen accordingly. For single individuals, the Household ID and Head of Household designation is automatically </t>
  </si>
  <si>
    <t>generated.</t>
  </si>
  <si>
    <t>Demographics</t>
  </si>
  <si>
    <t xml:space="preserve">As required by HUD, these data elements include but are not limited to chronically homeless, gender, race, ethnicity, veteran </t>
  </si>
  <si>
    <t xml:space="preserve">status, date of birth and prior living situation must be entered. </t>
  </si>
  <si>
    <t>Disabilities</t>
  </si>
  <si>
    <t xml:space="preserve">Each disability must have a separate sub-assessment record on the HUD assessment. </t>
  </si>
  <si>
    <t>Housing Placements</t>
  </si>
  <si>
    <t xml:space="preserve">Housing Placements must be entered on the Head of Household’s Housing Placement Assessment when the Household has </t>
  </si>
  <si>
    <t xml:space="preserve">been placed into housing. For housing placements to count towards the reporting period, the Start Date of the Housing Placement </t>
  </si>
  <si>
    <t xml:space="preserve">Assessment must be between the program-provider Entry and Exit dates and the reporting period, and the “Provider Making </t>
  </si>
  <si>
    <t xml:space="preserve">Housing Placement” must also match the Entry program-provider. End dates are required for all housing placements that have </t>
  </si>
  <si>
    <t xml:space="preserve">ended. For example, for clients that move from Emergency or Transitional Housing to Permanent Housing, an end date must be </t>
  </si>
  <si>
    <t>entered for that Emergency or Transitional Housing Placement record.</t>
  </si>
  <si>
    <t>Employment Placements</t>
  </si>
  <si>
    <t xml:space="preserve">Employment Placements are recorded for each client that has been placed in the Employment/Income Assessment in the Work </t>
  </si>
  <si>
    <t xml:space="preserve">History sub-assessment. The Start Date must be between the program-provider Entry and Exit dates, and the “Provider Making </t>
  </si>
  <si>
    <t xml:space="preserve">Employment Placement” must also match the program-provider. </t>
  </si>
  <si>
    <t>Exit Data</t>
  </si>
  <si>
    <t>When a client has completed or left a program, the Exit Reason and Destination must be indicated on the Exit screen. For clients</t>
  </si>
  <si>
    <t xml:space="preserve"> with other members in their household, each household member must be exited with Exit Reasons and Destinations as well.</t>
  </si>
  <si>
    <t>Santa Monica Residency</t>
  </si>
  <si>
    <t xml:space="preserve">In ClientTrack, Santa Monica Residency was determined by a single question, “Santa Monica Resident?” In ServicePoint, a </t>
  </si>
  <si>
    <t xml:space="preserve">series of questions related to a client’s history of homelessness determines their residency in Santa Monica. </t>
  </si>
  <si>
    <t>COST PER PARTICIPANT 
(Total Program Budget / 
Total Unduplicated Program Participants)</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</si>
  <si>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</si>
  <si>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</si>
  <si>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</si>
  <si>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</si>
  <si>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</si>
  <si>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</si>
  <si>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</si>
  <si>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</si>
  <si>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</si>
  <si>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</si>
  <si>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</si>
  <si>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</si>
  <si>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</si>
  <si>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</si>
  <si>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</si>
  <si>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</si>
  <si>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</si>
  <si>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</si>
  <si>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</si>
  <si>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</si>
  <si>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</si>
  <si>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</si>
  <si>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</si>
  <si>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</si>
  <si>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</si>
  <si>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</si>
  <si>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</si>
  <si>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</si>
  <si>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County</t>
  </si>
  <si>
    <t xml:space="preserve">LA County Dept Department of Health Services </t>
  </si>
  <si>
    <t>Multiple</t>
  </si>
  <si>
    <t>Los Angeles Homeless Services Authority</t>
  </si>
  <si>
    <t>LA County Dept of Mental Health</t>
  </si>
  <si>
    <t>City</t>
  </si>
  <si>
    <t>City of Santa Monica</t>
  </si>
  <si>
    <t>California Office of Emergency Services (CalOEs)</t>
  </si>
  <si>
    <t>City of Lancaster</t>
  </si>
  <si>
    <t>City of Los Angeles</t>
  </si>
  <si>
    <t>City of Los Angeles HCIDLA</t>
  </si>
  <si>
    <t>Emergency Food &amp; Shelter Program</t>
  </si>
  <si>
    <t>Other</t>
  </si>
  <si>
    <t>Antelope Valley College</t>
  </si>
  <si>
    <t>City of Malibu</t>
  </si>
  <si>
    <t>US Department of HUD</t>
  </si>
  <si>
    <t>Various</t>
  </si>
  <si>
    <t>County of Los Angeles</t>
  </si>
  <si>
    <t>LA County DPH/DA/DV</t>
  </si>
  <si>
    <t>Clifford Beers Housing</t>
  </si>
  <si>
    <t>Other Contracts</t>
  </si>
  <si>
    <t>Private Foundations</t>
  </si>
  <si>
    <t>FY21-22 includes $4M in one-time capital grants</t>
  </si>
  <si>
    <t>Interest/Investment</t>
  </si>
  <si>
    <t>Shared Housing Rent</t>
  </si>
  <si>
    <t>Lease Income</t>
  </si>
  <si>
    <t>Loan Forgiveness</t>
  </si>
  <si>
    <t>FY21-22 includes $5.6M PPP Loan Forgiveness</t>
  </si>
  <si>
    <t>Other Income</t>
  </si>
  <si>
    <t>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</si>
</sst>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 numFmtId="171" formatCode="_([$$-409]* #,##0.00_);_([$$-409]* \(#,##0.00\);_([$$-409]* &quot;-&quot;??_);_(@_)"/>
  </numFmts>
  <fonts count="35"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thin">
        <color indexed="64"/>
      </left>
      <right/>
      <top style="thin">
        <color indexed="64"/>
      </top>
      <bottom style="thin">
        <color theme="0" tint="-0.1499679555650502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theme="0" tint="-0.14996795556505021"/>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35">
    <xf numFmtId="0" fontId="0" fillId="0" borderId="0" xfId="0"/>
    <xf numFmtId="0" fontId="1" fillId="0" borderId="0" xfId="3"/>
    <xf numFmtId="9" fontId="3" fillId="4" borderId="2" xfId="5" applyFont="1" applyFill="1" applyBorder="1" applyAlignment="1" applyProtection="1">
      <alignment horizontal="center"/>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5" fillId="0" borderId="0" xfId="3" applyFont="1" applyAlignment="1">
      <alignment horizontal="center"/>
    </xf>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4" borderId="24" xfId="5" applyFont="1" applyFill="1" applyBorder="1" applyAlignment="1" applyProtection="1">
      <alignment horizontal="center"/>
    </xf>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3" fillId="0" borderId="0" xfId="3" applyFont="1"/>
    <xf numFmtId="164" fontId="4" fillId="3" borderId="0" xfId="2" applyNumberFormat="1" applyFont="1" applyFill="1" applyBorder="1" applyAlignment="1" applyProtection="1">
      <alignment horizontal="center"/>
    </xf>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lignment horizontal="center"/>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textRotation="90" wrapText="1"/>
    </xf>
    <xf numFmtId="0" fontId="18" fillId="0" borderId="0" xfId="3" applyFont="1"/>
    <xf numFmtId="167" fontId="18" fillId="0" borderId="0" xfId="3" applyNumberFormat="1" applyFont="1"/>
    <xf numFmtId="41" fontId="5" fillId="5" borderId="11" xfId="3" applyNumberFormat="1" applyFont="1" applyFill="1" applyBorder="1" applyAlignment="1">
      <alignment horizontal="center"/>
    </xf>
    <xf numFmtId="41" fontId="19"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8"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8" fillId="7" borderId="0" xfId="3" applyFont="1" applyFill="1" applyAlignment="1">
      <alignment horizontal="center"/>
    </xf>
    <xf numFmtId="0" fontId="3" fillId="2" borderId="18" xfId="3" applyFont="1" applyFill="1" applyBorder="1" applyAlignment="1">
      <alignment horizontal="center" wrapText="1"/>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9" fontId="2" fillId="4" borderId="42" xfId="5" applyFont="1" applyFill="1" applyBorder="1" applyAlignment="1" applyProtection="1">
      <alignment horizontal="center"/>
    </xf>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0" fontId="2" fillId="0" borderId="0" xfId="3" applyFont="1" applyAlignment="1">
      <alignment horizontal="center"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4" borderId="17" xfId="5" applyFont="1" applyFill="1" applyBorder="1" applyAlignment="1" applyProtection="1">
      <alignment horizontal="center"/>
    </xf>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57"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42" fontId="1" fillId="0" borderId="12" xfId="2" applyNumberFormat="1" applyFont="1" applyFill="1" applyBorder="1" applyProtection="1"/>
    <xf numFmtId="0" fontId="1" fillId="7" borderId="26" xfId="2" applyNumberFormat="1" applyFont="1" applyFill="1" applyBorder="1" applyProtection="1"/>
    <xf numFmtId="42" fontId="1" fillId="7" borderId="44" xfId="2" applyNumberFormat="1" applyFont="1" applyFill="1" applyBorder="1" applyProtection="1"/>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0" fontId="6" fillId="0" borderId="0" xfId="3" applyFont="1" applyAlignment="1">
      <alignment vertical="top"/>
    </xf>
    <xf numFmtId="0" fontId="26" fillId="0" borderId="12" xfId="3" applyFont="1" applyBorder="1" applyAlignment="1">
      <alignment horizontal="justify" vertical="center" wrapText="1"/>
    </xf>
    <xf numFmtId="0" fontId="1" fillId="0" borderId="12" xfId="3" applyBorder="1"/>
    <xf numFmtId="0" fontId="3" fillId="13" borderId="15" xfId="3" applyFont="1" applyFill="1" applyBorder="1" applyAlignment="1">
      <alignment horizontal="center" wrapText="1"/>
    </xf>
    <xf numFmtId="0" fontId="29" fillId="0" borderId="0" xfId="3" applyFont="1" applyAlignment="1">
      <alignment horizontal="center" wrapText="1"/>
    </xf>
    <xf numFmtId="0" fontId="17" fillId="0" borderId="0" xfId="3" applyFont="1" applyAlignment="1">
      <alignment horizontal="center" wrapText="1"/>
    </xf>
    <xf numFmtId="0" fontId="29" fillId="0" borderId="0" xfId="3" applyFont="1"/>
    <xf numFmtId="164" fontId="29" fillId="0" borderId="0" xfId="2" applyNumberFormat="1" applyFont="1" applyBorder="1" applyAlignment="1" applyProtection="1">
      <alignment horizontal="center" wrapText="1"/>
    </xf>
    <xf numFmtId="0" fontId="28"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2" borderId="0" xfId="3" applyFont="1" applyFill="1"/>
    <xf numFmtId="0" fontId="4" fillId="12" borderId="12" xfId="3" applyFont="1" applyFill="1" applyBorder="1"/>
    <xf numFmtId="0" fontId="4" fillId="12" borderId="15" xfId="3" applyFont="1" applyFill="1" applyBorder="1"/>
    <xf numFmtId="0" fontId="4" fillId="0" borderId="0" xfId="3" applyFont="1"/>
    <xf numFmtId="0" fontId="4" fillId="0" borderId="0" xfId="3" applyFont="1" applyAlignment="1">
      <alignment wrapText="1"/>
    </xf>
    <xf numFmtId="0" fontId="4" fillId="0" borderId="48" xfId="3" applyFont="1" applyBorder="1"/>
    <xf numFmtId="0" fontId="1" fillId="0" borderId="0" xfId="3" applyAlignment="1">
      <alignment wrapText="1"/>
    </xf>
    <xf numFmtId="0" fontId="1" fillId="0" borderId="48" xfId="3" applyBorder="1"/>
    <xf numFmtId="0" fontId="1" fillId="0" borderId="0" xfId="3" applyAlignment="1">
      <alignment horizontal="left" wrapText="1"/>
    </xf>
    <xf numFmtId="42" fontId="4" fillId="12" borderId="12" xfId="2" applyNumberFormat="1" applyFont="1" applyFill="1" applyBorder="1" applyAlignment="1" applyProtection="1"/>
    <xf numFmtId="0" fontId="4" fillId="12" borderId="14" xfId="2" applyNumberFormat="1" applyFont="1" applyFill="1" applyBorder="1" applyAlignment="1" applyProtection="1">
      <alignment horizontal="center" vertical="center" wrapText="1"/>
    </xf>
    <xf numFmtId="0" fontId="31" fillId="0" borderId="0" xfId="3" applyFont="1"/>
    <xf numFmtId="0" fontId="32" fillId="0" borderId="0" xfId="3" applyFont="1"/>
    <xf numFmtId="0" fontId="33" fillId="0" borderId="0" xfId="3" applyFont="1" applyAlignment="1">
      <alignment horizontal="center"/>
    </xf>
    <xf numFmtId="0" fontId="34" fillId="9" borderId="18" xfId="3" applyFont="1" applyFill="1" applyBorder="1" applyAlignment="1">
      <alignment horizontal="center" vertical="center" wrapText="1"/>
    </xf>
    <xf numFmtId="0" fontId="34" fillId="9" borderId="1" xfId="3" applyFont="1" applyFill="1" applyBorder="1" applyAlignment="1">
      <alignment horizontal="center" vertical="center" wrapText="1"/>
    </xf>
    <xf numFmtId="42" fontId="3" fillId="12" borderId="12" xfId="3" applyNumberFormat="1" applyFont="1" applyFill="1" applyBorder="1"/>
    <xf numFmtId="0" fontId="1" fillId="12" borderId="12" xfId="3" applyFill="1" applyBorder="1"/>
    <xf numFmtId="9" fontId="1" fillId="12" borderId="21" xfId="5" applyFont="1" applyFill="1" applyBorder="1" applyAlignment="1" applyProtection="1">
      <alignment horizontal="center" vertical="top"/>
    </xf>
    <xf numFmtId="42" fontId="1" fillId="12" borderId="21" xfId="2" applyNumberFormat="1" applyFont="1" applyFill="1" applyBorder="1" applyProtection="1"/>
    <xf numFmtId="10" fontId="1" fillId="12" borderId="44" xfId="5" applyNumberFormat="1" applyFont="1" applyFill="1" applyBorder="1" applyAlignment="1" applyProtection="1">
      <alignment horizontal="left" vertical="top" wrapText="1"/>
    </xf>
    <xf numFmtId="42" fontId="1" fillId="12" borderId="22" xfId="2" applyNumberFormat="1" applyFont="1" applyFill="1" applyBorder="1" applyProtection="1"/>
    <xf numFmtId="49" fontId="1" fillId="12" borderId="44" xfId="5" applyNumberFormat="1" applyFont="1" applyFill="1" applyBorder="1" applyAlignment="1" applyProtection="1">
      <alignment horizontal="left" vertical="top" wrapText="1"/>
    </xf>
    <xf numFmtId="39" fontId="1" fillId="12" borderId="50" xfId="1" applyNumberFormat="1" applyFont="1" applyFill="1" applyBorder="1" applyAlignment="1" applyProtection="1">
      <alignment horizontal="right" vertical="top" wrapText="1"/>
    </xf>
    <xf numFmtId="49" fontId="1" fillId="12" borderId="50" xfId="5" applyNumberFormat="1" applyFont="1" applyFill="1" applyBorder="1" applyAlignment="1" applyProtection="1">
      <alignment horizontal="left" vertical="top" wrapText="1"/>
    </xf>
    <xf numFmtId="49" fontId="1" fillId="12" borderId="55" xfId="5" applyNumberFormat="1" applyFont="1" applyFill="1" applyBorder="1" applyAlignment="1" applyProtection="1">
      <alignment horizontal="left" vertical="top" wrapText="1"/>
    </xf>
    <xf numFmtId="49" fontId="1" fillId="12" borderId="56" xfId="5" applyNumberFormat="1" applyFont="1" applyFill="1" applyBorder="1" applyAlignment="1" applyProtection="1">
      <alignment horizontal="left" vertical="top" wrapText="1"/>
    </xf>
    <xf numFmtId="0" fontId="1" fillId="12" borderId="26" xfId="2" applyNumberFormat="1" applyFont="1" applyFill="1" applyBorder="1" applyProtection="1"/>
    <xf numFmtId="171" fontId="4" fillId="12" borderId="14" xfId="2" applyNumberFormat="1" applyFont="1" applyFill="1" applyBorder="1" applyAlignment="1" applyProtection="1">
      <alignment horizontal="center" vertical="center" wrapText="1"/>
    </xf>
    <xf numFmtId="0" fontId="4" fillId="12" borderId="12" xfId="3" applyFont="1" applyFill="1" applyBorder="1" applyAlignment="1">
      <alignment wrapText="1"/>
    </xf>
    <xf numFmtId="0" fontId="4" fillId="12" borderId="15" xfId="3" applyFont="1" applyFill="1" applyBorder="1" applyAlignment="1">
      <alignment wrapText="1"/>
    </xf>
    <xf numFmtId="0" fontId="1" fillId="0" borderId="0" xfId="3"/>
    <xf numFmtId="0" fontId="3" fillId="0" borderId="0" xfId="3" applyFont="1"/>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3" fillId="0" borderId="0" xfId="3" applyFont="1" applyAlignment="1">
      <alignment vertical="top"/>
    </xf>
    <xf numFmtId="0" fontId="3" fillId="13" borderId="12" xfId="3" applyFont="1" applyFill="1" applyBorder="1" applyAlignment="1">
      <alignment horizontal="center" wrapText="1"/>
    </xf>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5" borderId="3" xfId="3" applyFont="1" applyFill="1" applyBorder="1" applyProtection="1"/>
    <xf numFmtId="0" fontId="2" fillId="5" borderId="2" xfId="3" applyFont="1" applyFill="1" applyBorder="1" applyProtection="1"/>
    <xf numFmtId="0" fontId="2" fillId="5"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2" borderId="12" xfId="3" applyNumberFormat="1" applyFont="1" applyFill="1" applyBorder="1" applyProtection="1"/>
    <xf numFmtId="0" fontId="1" fillId="0" borderId="0" xfId="3" applyAlignment="1" applyProtection="1">
      <alignment horizontal="left" indent="1"/>
    </xf>
    <xf numFmtId="49" fontId="2" fillId="12" borderId="15" xfId="3" applyNumberFormat="1" applyFont="1" applyFill="1" applyBorder="1" applyProtection="1"/>
    <xf numFmtId="0" fontId="1" fillId="0" borderId="8" xfId="3" applyBorder="1" applyProtection="1"/>
    <xf numFmtId="0" fontId="2" fillId="0" borderId="8" xfId="3" applyFont="1" applyBorder="1" applyProtection="1"/>
    <xf numFmtId="0" fontId="12" fillId="12" borderId="12" xfId="3" applyFont="1" applyFill="1" applyBorder="1" applyProtection="1"/>
    <xf numFmtId="42" fontId="1" fillId="6" borderId="12" xfId="2" applyNumberFormat="1"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ill="1" applyBorder="1" applyProtection="1"/>
    <xf numFmtId="0" fontId="7" fillId="4" borderId="33" xfId="3" applyFont="1" applyFill="1" applyBorder="1" applyAlignment="1" applyProtection="1">
      <alignment horizontal="center"/>
    </xf>
    <xf numFmtId="0" fontId="12" fillId="4" borderId="35" xfId="3" applyFont="1" applyFill="1" applyBorder="1" applyProtection="1"/>
    <xf numFmtId="0" fontId="7" fillId="4" borderId="0" xfId="3" applyFont="1" applyFill="1" applyProtection="1"/>
    <xf numFmtId="0" fontId="12" fillId="4" borderId="0" xfId="3" applyFont="1" applyFill="1" applyProtection="1"/>
    <xf numFmtId="0" fontId="7" fillId="4"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wrapText="1"/>
    </xf>
    <xf numFmtId="0" fontId="8" fillId="0" borderId="0" xfId="3" applyFont="1" applyAlignment="1" applyProtection="1">
      <alignment horizontal="center" wrapText="1"/>
    </xf>
    <xf numFmtId="0" fontId="1" fillId="12" borderId="40" xfId="0" applyFont="1" applyFill="1" applyBorder="1" applyAlignment="1" applyProtection="1">
      <alignment horizontal="left" vertical="top"/>
    </xf>
    <xf numFmtId="0" fontId="1" fillId="12" borderId="21" xfId="0"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2" fontId="1" fillId="12" borderId="21" xfId="0" applyNumberFormat="1" applyFont="1" applyFill="1" applyBorder="1" applyAlignment="1" applyProtection="1">
      <alignment horizontal="center" vertical="top"/>
    </xf>
    <xf numFmtId="1" fontId="1" fillId="12" borderId="21" xfId="0" applyNumberFormat="1" applyFont="1" applyFill="1" applyBorder="1" applyAlignment="1" applyProtection="1">
      <alignment horizontal="center" vertical="top" shrinkToFit="1"/>
    </xf>
    <xf numFmtId="42" fontId="1" fillId="6" borderId="21" xfId="2" applyNumberFormat="1" applyFont="1" applyFill="1" applyBorder="1" applyProtection="1"/>
    <xf numFmtId="42" fontId="1" fillId="0" borderId="21" xfId="3" applyNumberFormat="1" applyBorder="1" applyProtection="1"/>
    <xf numFmtId="42" fontId="1" fillId="6" borderId="36" xfId="3" applyNumberFormat="1" applyFill="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0" fontId="1" fillId="0" borderId="37" xfId="3" applyBorder="1" applyProtection="1"/>
    <xf numFmtId="0" fontId="1" fillId="0" borderId="38" xfId="3"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0" fontId="2" fillId="4" borderId="11" xfId="3" applyFont="1" applyFill="1" applyBorder="1" applyProtection="1"/>
    <xf numFmtId="0" fontId="2" fillId="4" borderId="10" xfId="3" applyFont="1" applyFill="1" applyBorder="1" applyProtection="1"/>
    <xf numFmtId="0" fontId="1" fillId="4" borderId="10" xfId="3" applyFill="1" applyBorder="1" applyProtection="1"/>
    <xf numFmtId="0" fontId="7" fillId="4" borderId="10" xfId="3" applyFont="1" applyFill="1" applyBorder="1" applyAlignment="1" applyProtection="1">
      <alignment horizontal="center"/>
    </xf>
    <xf numFmtId="0" fontId="12" fillId="4"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2" borderId="20" xfId="0" applyNumberFormat="1" applyFont="1" applyFill="1" applyBorder="1" applyAlignment="1" applyProtection="1">
      <alignment horizontal="left" vertical="top"/>
    </xf>
    <xf numFmtId="49" fontId="1" fillId="12" borderId="44" xfId="0" applyNumberFormat="1" applyFont="1" applyFill="1" applyBorder="1" applyAlignment="1" applyProtection="1">
      <alignment horizontal="left" vertical="top" shrinkToFit="1"/>
    </xf>
    <xf numFmtId="49" fontId="1" fillId="12" borderId="44" xfId="3" applyNumberFormat="1" applyFill="1" applyBorder="1" applyAlignment="1" applyProtection="1">
      <alignment horizontal="left" vertical="top" wrapText="1"/>
    </xf>
    <xf numFmtId="49" fontId="1" fillId="12" borderId="26" xfId="3" applyNumberFormat="1" applyFill="1" applyBorder="1" applyAlignment="1" applyProtection="1">
      <alignment horizontal="left" vertical="top" wrapText="1"/>
    </xf>
    <xf numFmtId="0" fontId="1" fillId="0" borderId="0" xfId="3" applyAlignment="1" applyProtection="1">
      <alignment horizontal="left" vertical="top" wrapText="1"/>
    </xf>
    <xf numFmtId="42" fontId="1" fillId="6" borderId="28" xfId="2" applyNumberFormat="1" applyFont="1" applyFill="1" applyBorder="1" applyProtection="1"/>
    <xf numFmtId="49" fontId="1" fillId="12" borderId="20" xfId="3" applyNumberFormat="1" applyFill="1" applyBorder="1" applyAlignment="1" applyProtection="1">
      <alignment horizontal="left" vertical="top"/>
    </xf>
    <xf numFmtId="49" fontId="1" fillId="12" borderId="44" xfId="0" applyNumberFormat="1" applyFont="1" applyFill="1" applyBorder="1" applyAlignment="1" applyProtection="1">
      <alignment horizontal="left" vertical="top" wrapText="1" shrinkToFit="1"/>
    </xf>
    <xf numFmtId="42" fontId="1" fillId="6" borderId="19" xfId="2" applyNumberFormat="1" applyFont="1" applyFill="1" applyBorder="1" applyProtection="1"/>
    <xf numFmtId="0" fontId="2" fillId="4" borderId="52"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9" fontId="1" fillId="12" borderId="50" xfId="3" applyNumberFormat="1" applyFill="1" applyBorder="1" applyAlignment="1" applyProtection="1">
      <alignment horizontal="left" vertical="top" wrapText="1"/>
    </xf>
    <xf numFmtId="49" fontId="1" fillId="12" borderId="51" xfId="3" applyNumberFormat="1" applyFill="1" applyBorder="1" applyAlignment="1" applyProtection="1">
      <alignment horizontal="left" vertical="top" wrapText="1"/>
    </xf>
    <xf numFmtId="42" fontId="1" fillId="6" borderId="22" xfId="2" applyNumberFormat="1" applyFont="1" applyFill="1" applyBorder="1" applyProtection="1"/>
    <xf numFmtId="0" fontId="2" fillId="4" borderId="11" xfId="3" applyFont="1" applyFill="1" applyBorder="1" applyAlignment="1" applyProtection="1">
      <alignment wrapText="1"/>
    </xf>
    <xf numFmtId="49" fontId="1" fillId="12" borderId="49" xfId="3" applyNumberFormat="1" applyFill="1" applyBorder="1" applyAlignment="1" applyProtection="1">
      <alignment horizontal="left" vertical="top"/>
    </xf>
    <xf numFmtId="49" fontId="1" fillId="12" borderId="50" xfId="0" applyNumberFormat="1" applyFont="1" applyFill="1" applyBorder="1" applyAlignment="1" applyProtection="1">
      <alignment horizontal="left" vertical="top" wrapText="1" shrinkToFit="1"/>
    </xf>
    <xf numFmtId="49" fontId="1" fillId="12" borderId="50" xfId="0" applyNumberFormat="1" applyFont="1" applyFill="1" applyBorder="1" applyAlignment="1" applyProtection="1">
      <alignment horizontal="left" vertical="top" shrinkToFit="1"/>
    </xf>
    <xf numFmtId="42" fontId="1" fillId="6" borderId="23" xfId="2" applyNumberFormat="1" applyFont="1" applyFill="1" applyBorder="1" applyProtection="1"/>
    <xf numFmtId="49" fontId="1" fillId="12" borderId="49" xfId="0" applyNumberFormat="1" applyFont="1" applyFill="1" applyBorder="1" applyAlignment="1" applyProtection="1">
      <alignment horizontal="left" vertical="top"/>
    </xf>
    <xf numFmtId="0" fontId="12" fillId="4" borderId="0" xfId="3" applyFont="1" applyFill="1" applyAlignment="1" applyProtection="1">
      <alignment wrapText="1"/>
    </xf>
    <xf numFmtId="0" fontId="12" fillId="4" borderId="7" xfId="3" applyFont="1" applyFill="1" applyBorder="1" applyProtection="1"/>
    <xf numFmtId="0" fontId="7" fillId="4" borderId="8" xfId="3" applyFont="1" applyFill="1" applyBorder="1" applyAlignment="1" applyProtection="1">
      <alignment horizontal="left" indent="1"/>
    </xf>
    <xf numFmtId="49" fontId="1" fillId="12" borderId="53" xfId="0" applyNumberFormat="1" applyFont="1" applyFill="1" applyBorder="1" applyAlignment="1" applyProtection="1">
      <alignment horizontal="left" vertical="top" shrinkToFit="1"/>
    </xf>
    <xf numFmtId="49" fontId="1" fillId="12" borderId="54" xfId="0" applyNumberFormat="1" applyFont="1" applyFill="1" applyBorder="1" applyAlignment="1" applyProtection="1">
      <alignment horizontal="left" vertical="top" shrinkToFit="1"/>
    </xf>
    <xf numFmtId="0" fontId="17" fillId="0" borderId="0" xfId="3" applyFont="1" applyAlignment="1" applyProtection="1">
      <alignment horizontal="left" vertical="top" wrapText="1"/>
    </xf>
    <xf numFmtId="169" fontId="17" fillId="0" borderId="0" xfId="3" applyNumberFormat="1" applyFont="1" applyAlignment="1" applyProtection="1">
      <alignment horizontal="left" vertical="top" wrapText="1"/>
    </xf>
    <xf numFmtId="49" fontId="1" fillId="12" borderId="53" xfId="3" applyNumberFormat="1" applyFill="1" applyBorder="1" applyAlignment="1" applyProtection="1">
      <alignment horizontal="left" vertical="top" wrapText="1"/>
    </xf>
    <xf numFmtId="42" fontId="1" fillId="6" borderId="27" xfId="2" applyNumberFormat="1" applyFont="1" applyFill="1" applyBorder="1" applyProtection="1"/>
    <xf numFmtId="0" fontId="2" fillId="4" borderId="17" xfId="3" applyFont="1" applyFill="1" applyBorder="1" applyAlignment="1" applyProtection="1">
      <alignment horizontal="center"/>
    </xf>
    <xf numFmtId="0" fontId="3" fillId="4" borderId="3" xfId="3" applyFont="1" applyFill="1" applyBorder="1" applyAlignment="1" applyProtection="1">
      <alignment horizontal="right"/>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2" xfId="3" applyFont="1" applyFill="1" applyBorder="1" applyAlignment="1" applyProtection="1">
      <alignment horizontal="center"/>
    </xf>
    <xf numFmtId="0" fontId="3" fillId="4" borderId="11" xfId="3" applyFont="1" applyFill="1" applyBorder="1" applyProtection="1"/>
    <xf numFmtId="0" fontId="2" fillId="4" borderId="9" xfId="3" applyFont="1" applyFill="1" applyBorder="1"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2" borderId="29" xfId="0"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18"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3" fillId="0" borderId="0" xfId="3" applyFont="1" applyAlignment="1" applyProtection="1">
      <alignment horizontal="left" vertical="center"/>
    </xf>
    <xf numFmtId="0" fontId="2" fillId="0" borderId="0" xfId="3" applyFont="1" applyAlignment="1" applyProtection="1">
      <alignment horizontal="center" vertical="center"/>
    </xf>
    <xf numFmtId="0" fontId="2" fillId="0" borderId="0" xfId="3" applyFont="1" applyAlignment="1" applyProtection="1">
      <alignment horizontal="center" vertical="center" textRotation="90" wrapText="1"/>
    </xf>
    <xf numFmtId="0" fontId="2" fillId="0" borderId="0" xfId="3" applyFont="1" applyAlignment="1" applyProtection="1">
      <alignment horizontal="center" vertical="center" textRotation="90"/>
    </xf>
    <xf numFmtId="0" fontId="1" fillId="0" borderId="0" xfId="3" applyAlignment="1" applyProtection="1">
      <alignment vertical="center" textRotation="90"/>
    </xf>
    <xf numFmtId="0" fontId="1" fillId="0" borderId="0" xfId="3" applyAlignment="1" applyProtection="1">
      <alignment vertical="center"/>
    </xf>
    <xf numFmtId="0" fontId="13" fillId="0" borderId="0" xfId="3" applyFont="1" applyAlignment="1" applyProtection="1">
      <alignment horizontal="center" vertical="center"/>
    </xf>
    <xf numFmtId="0" fontId="20" fillId="4" borderId="14" xfId="3" applyFont="1" applyFill="1" applyBorder="1" applyAlignment="1" applyProtection="1">
      <alignment horizontal="left" vertical="center"/>
    </xf>
    <xf numFmtId="0" fontId="20" fillId="4" borderId="45" xfId="3" applyFont="1" applyFill="1" applyBorder="1" applyAlignment="1" applyProtection="1">
      <alignment horizontal="center" vertical="center"/>
    </xf>
    <xf numFmtId="0" fontId="20" fillId="4" borderId="46" xfId="3" applyFont="1" applyFill="1" applyBorder="1" applyAlignment="1" applyProtection="1">
      <alignment horizontal="center" vertical="center"/>
    </xf>
    <xf numFmtId="0" fontId="4" fillId="0" borderId="0" xfId="3" applyFont="1" applyAlignment="1" applyProtection="1">
      <alignment vertical="center"/>
    </xf>
    <xf numFmtId="0" fontId="4" fillId="0" borderId="58" xfId="0" applyFont="1" applyBorder="1" applyAlignment="1" applyProtection="1">
      <alignment horizontal="right" vertical="center"/>
    </xf>
    <xf numFmtId="0" fontId="4" fillId="12" borderId="14" xfId="3" applyFont="1" applyFill="1" applyBorder="1" applyAlignment="1" applyProtection="1">
      <alignment horizontal="center" vertical="center" wrapText="1"/>
    </xf>
    <xf numFmtId="0" fontId="4" fillId="6" borderId="59" xfId="3" applyFont="1" applyFill="1" applyBorder="1" applyAlignment="1" applyProtection="1">
      <alignment horizontal="center" vertical="center"/>
    </xf>
    <xf numFmtId="0" fontId="4" fillId="6" borderId="60" xfId="3" applyFont="1" applyFill="1" applyBorder="1" applyAlignment="1" applyProtection="1">
      <alignment horizontal="center" vertical="center"/>
    </xf>
    <xf numFmtId="0" fontId="4" fillId="0" borderId="61" xfId="0" applyFont="1" applyBorder="1" applyAlignment="1" applyProtection="1">
      <alignment horizontal="right" vertical="center"/>
    </xf>
    <xf numFmtId="0" fontId="4" fillId="0" borderId="0" xfId="3" applyFont="1" applyAlignment="1" applyProtection="1">
      <alignment horizontal="center" vertical="center"/>
    </xf>
    <xf numFmtId="0" fontId="4" fillId="0" borderId="0" xfId="3" applyFont="1" applyAlignment="1" applyProtection="1">
      <alignment horizontal="center" vertical="center" wrapText="1"/>
    </xf>
    <xf numFmtId="0" fontId="20" fillId="4" borderId="14" xfId="3" applyFont="1" applyFill="1" applyBorder="1" applyAlignment="1" applyProtection="1">
      <alignment horizontal="left" vertical="center" wrapText="1"/>
    </xf>
    <xf numFmtId="0" fontId="20" fillId="4" borderId="62" xfId="3" applyFont="1" applyFill="1" applyBorder="1" applyAlignment="1" applyProtection="1">
      <alignment horizontal="left" vertical="center"/>
    </xf>
    <xf numFmtId="0" fontId="20" fillId="4" borderId="48" xfId="3" applyFont="1" applyFill="1" applyBorder="1" applyAlignment="1" applyProtection="1">
      <alignment horizontal="center" vertical="center"/>
    </xf>
    <xf numFmtId="0" fontId="20" fillId="4" borderId="63" xfId="3" applyFont="1" applyFill="1" applyBorder="1" applyAlignment="1" applyProtection="1">
      <alignment horizontal="center" vertical="center"/>
    </xf>
    <xf numFmtId="0" fontId="20" fillId="4" borderId="64" xfId="3" applyFont="1" applyFill="1" applyBorder="1" applyAlignment="1" applyProtection="1">
      <alignment horizontal="left" vertical="center"/>
    </xf>
    <xf numFmtId="0" fontId="20" fillId="4" borderId="12" xfId="3" applyFont="1" applyFill="1" applyBorder="1" applyAlignment="1" applyProtection="1">
      <alignment horizontal="center" vertical="center"/>
    </xf>
    <xf numFmtId="0" fontId="20" fillId="4" borderId="65" xfId="3" applyFont="1" applyFill="1" applyBorder="1" applyAlignment="1" applyProtection="1">
      <alignment horizontal="center" vertical="center"/>
    </xf>
    <xf numFmtId="0" fontId="4" fillId="0" borderId="0" xfId="3" applyFont="1" applyAlignment="1" applyProtection="1">
      <alignment horizontal="left" vertical="center"/>
    </xf>
    <xf numFmtId="0" fontId="4" fillId="0" borderId="0" xfId="3" applyFont="1" applyAlignment="1" applyProtection="1">
      <alignment horizontal="left" vertical="center" wrapText="1"/>
    </xf>
    <xf numFmtId="0" fontId="3" fillId="0" borderId="0" xfId="3" applyFont="1" applyAlignment="1" applyProtection="1">
      <alignment horizontal="left" vertical="center" indent="2"/>
    </xf>
    <xf numFmtId="0" fontId="4" fillId="0" borderId="0" xfId="3" applyFont="1" applyAlignment="1" applyProtection="1">
      <alignment horizontal="left" vertical="center" indent="2"/>
    </xf>
    <xf numFmtId="0" fontId="1" fillId="0" borderId="0" xfId="3" applyAlignment="1" applyProtection="1">
      <alignment horizontal="center" vertical="center"/>
    </xf>
    <xf numFmtId="0" fontId="1" fillId="0" borderId="0" xfId="3" applyAlignment="1" applyProtection="1">
      <alignment horizontal="center" vertical="center" wrapText="1"/>
    </xf>
    <xf numFmtId="0" fontId="1" fillId="0" borderId="0" xfId="3" applyAlignment="1" applyProtection="1">
      <alignment vertical="center" wrapText="1"/>
    </xf>
    <xf numFmtId="170" fontId="1" fillId="12" borderId="21" xfId="0" applyNumberFormat="1" applyFont="1" applyFill="1" applyBorder="1" applyAlignment="1" applyProtection="1">
      <alignment horizontal="center" vertical="top" shrinkToFit="1"/>
    </xf>
    <xf numFmtId="2" fontId="1" fillId="12" borderId="22" xfId="0" applyNumberFormat="1" applyFont="1" applyFill="1" applyBorder="1" applyAlignment="1" applyProtection="1">
      <alignment horizontal="center" vertical="top"/>
    </xf>
    <xf numFmtId="9" fontId="1" fillId="12" borderId="22" xfId="5" applyFont="1" applyFill="1" applyBorder="1" applyAlignment="1" applyProtection="1">
      <alignment horizontal="center" vertical="top"/>
    </xf>
    <xf numFmtId="2" fontId="2" fillId="4" borderId="42" xfId="3" applyNumberFormat="1" applyFont="1" applyFill="1" applyBorder="1" applyAlignment="1" applyProtection="1">
      <alignment horizontal="center"/>
    </xf>
    <xf numFmtId="0" fontId="1" fillId="0" borderId="0" xfId="3" applyAlignment="1">
      <alignment horizontal="left" vertical="center" wrapText="1"/>
    </xf>
    <xf numFmtId="0" fontId="13" fillId="0" borderId="0" xfId="3" applyFont="1" applyAlignment="1">
      <alignment horizontal="center"/>
    </xf>
    <xf numFmtId="0" fontId="16" fillId="11" borderId="0" xfId="3" applyFont="1" applyFill="1" applyAlignment="1">
      <alignment horizontal="left" vertical="center" wrapText="1"/>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3" fillId="0" borderId="0" xfId="3" applyFont="1" applyAlignment="1">
      <alignment vertical="top"/>
    </xf>
    <xf numFmtId="0" fontId="30" fillId="0" borderId="0" xfId="3" applyFont="1" applyAlignment="1"/>
    <xf numFmtId="0" fontId="4" fillId="0" borderId="47" xfId="3" applyFont="1" applyBorder="1" applyAlignment="1">
      <alignment horizontal="justify" vertical="center" wrapText="1"/>
    </xf>
    <xf numFmtId="0" fontId="4" fillId="0" borderId="15" xfId="3" applyFont="1" applyBorder="1" applyAlignment="1"/>
    <xf numFmtId="0" fontId="3" fillId="13" borderId="12" xfId="3" applyFont="1" applyFill="1" applyBorder="1" applyAlignment="1">
      <alignment horizontal="center" wrapText="1"/>
    </xf>
    <xf numFmtId="0" fontId="1" fillId="13" borderId="12" xfId="3" applyFill="1" applyBorder="1" applyAlignment="1">
      <alignment horizontal="center" wrapText="1"/>
    </xf>
    <xf numFmtId="0" fontId="3" fillId="0" borderId="0" xfId="3" applyFont="1" applyAlignment="1"/>
    <xf numFmtId="0" fontId="1" fillId="0" borderId="0" xfId="3" applyAlignment="1"/>
    <xf numFmtId="0" fontId="12" fillId="0" borderId="0" xfId="3" applyFont="1" applyAlignment="1"/>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100-000003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100-000004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100-000004000000}"/>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100-000005000000}"/>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00000000-0008-0000-0A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C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37" customFormat="1" ht="18" x14ac:dyDescent="0.25">
      <c r="A1" s="320" t="s">
        <v>0</v>
      </c>
      <c r="B1" s="320"/>
      <c r="C1" s="320"/>
    </row>
    <row r="2" spans="1:3" s="138" customFormat="1" ht="18" x14ac:dyDescent="0.25">
      <c r="A2" s="320" t="s">
        <v>1</v>
      </c>
      <c r="B2" s="320"/>
      <c r="C2" s="320"/>
    </row>
    <row r="3" spans="1:3" s="139" customFormat="1" ht="13.5" thickBot="1" x14ac:dyDescent="0.25">
      <c r="A3" s="138"/>
      <c r="B3" s="138"/>
      <c r="C3" s="138"/>
    </row>
    <row r="4" spans="1:3" s="138" customFormat="1" ht="15.75" thickBot="1" x14ac:dyDescent="0.25">
      <c r="A4" s="140" t="s">
        <v>2</v>
      </c>
      <c r="B4" s="141" t="s">
        <v>3</v>
      </c>
      <c r="C4" s="141" t="s">
        <v>4</v>
      </c>
    </row>
    <row r="5" spans="1:3" s="138" customFormat="1" ht="29.25" thickBot="1" x14ac:dyDescent="0.25">
      <c r="A5" s="34" t="s">
        <v>5</v>
      </c>
      <c r="B5" s="33" t="s">
        <v>6</v>
      </c>
      <c r="C5" s="32">
        <v>44963</v>
      </c>
    </row>
    <row r="6" spans="1:3" s="138" customFormat="1" ht="29.25" thickBot="1" x14ac:dyDescent="0.25">
      <c r="A6" s="34" t="s">
        <v>7</v>
      </c>
      <c r="B6" s="33" t="s">
        <v>8</v>
      </c>
      <c r="C6" s="32">
        <v>45145</v>
      </c>
    </row>
    <row r="8" spans="1:3" ht="17.25" customHeight="1" x14ac:dyDescent="0.2">
      <c r="A8" s="321" t="s">
        <v>9</v>
      </c>
      <c r="B8" s="321"/>
      <c r="C8" s="321"/>
    </row>
    <row r="9" spans="1:3" ht="74.25" customHeight="1" x14ac:dyDescent="0.2">
      <c r="A9" s="319" t="s">
        <v>10</v>
      </c>
      <c r="B9" s="319"/>
      <c r="C9" s="319"/>
    </row>
    <row r="10" spans="1:3" ht="45.75" customHeight="1" x14ac:dyDescent="0.2">
      <c r="A10" s="319" t="s">
        <v>11</v>
      </c>
      <c r="B10" s="319"/>
      <c r="C10" s="319"/>
    </row>
    <row r="11" spans="1:3" ht="90" customHeight="1" x14ac:dyDescent="0.2">
      <c r="A11" s="319" t="s">
        <v>12</v>
      </c>
      <c r="B11" s="319"/>
      <c r="C11" s="319"/>
    </row>
    <row r="12" spans="1:3" ht="11.25" customHeight="1" x14ac:dyDescent="0.2">
      <c r="A12" s="319"/>
      <c r="B12" s="319"/>
      <c r="C12" s="319"/>
    </row>
    <row r="13" spans="1:3" ht="15" customHeight="1" x14ac:dyDescent="0.2">
      <c r="A13" s="321" t="s">
        <v>13</v>
      </c>
      <c r="B13" s="321"/>
      <c r="C13" s="321"/>
    </row>
    <row r="14" spans="1:3" ht="65.25" customHeight="1" x14ac:dyDescent="0.2">
      <c r="A14" s="319" t="s">
        <v>14</v>
      </c>
      <c r="B14" s="319"/>
      <c r="C14" s="319"/>
    </row>
    <row r="15" spans="1:3" s="12" customFormat="1" ht="50.25" customHeight="1" x14ac:dyDescent="0.2">
      <c r="A15" s="319" t="s">
        <v>15</v>
      </c>
      <c r="B15" s="319"/>
      <c r="C15" s="319"/>
    </row>
    <row r="16" spans="1:3" x14ac:dyDescent="0.2">
      <c r="A16" s="319"/>
      <c r="B16" s="319"/>
      <c r="C16" s="319"/>
    </row>
    <row r="17" spans="1:3" ht="16.5" customHeight="1" x14ac:dyDescent="0.2">
      <c r="A17" s="322" t="s">
        <v>16</v>
      </c>
      <c r="B17" s="322"/>
      <c r="C17" s="322"/>
    </row>
    <row r="18" spans="1:3" ht="30.75" customHeight="1" x14ac:dyDescent="0.2">
      <c r="A18" s="323" t="s">
        <v>17</v>
      </c>
      <c r="B18" s="323"/>
      <c r="C18" s="323"/>
    </row>
    <row r="19" spans="1:3" ht="30" customHeight="1" x14ac:dyDescent="0.2">
      <c r="A19" s="323" t="s">
        <v>18</v>
      </c>
      <c r="B19" s="323"/>
      <c r="C19" s="323"/>
    </row>
    <row r="20" spans="1:3" s="12" customFormat="1" ht="24.75" customHeight="1" x14ac:dyDescent="0.2">
      <c r="A20" s="323" t="s">
        <v>19</v>
      </c>
      <c r="B20" s="323"/>
      <c r="C20" s="323"/>
    </row>
    <row r="21" spans="1:3" ht="30" customHeight="1" x14ac:dyDescent="0.2">
      <c r="A21" s="323" t="s">
        <v>20</v>
      </c>
      <c r="B21" s="323"/>
      <c r="C21" s="323"/>
    </row>
    <row r="22" spans="1:3" x14ac:dyDescent="0.2">
      <c r="A22" s="319"/>
      <c r="B22" s="319"/>
      <c r="C22" s="319"/>
    </row>
    <row r="23" spans="1:3" ht="12.75" customHeight="1" x14ac:dyDescent="0.2">
      <c r="A23" s="322" t="s">
        <v>21</v>
      </c>
      <c r="B23" s="322"/>
      <c r="C23" s="322"/>
    </row>
    <row r="24" spans="1:3" s="12" customFormat="1" ht="172.5" customHeight="1" x14ac:dyDescent="0.2">
      <c r="A24" s="323" t="s">
        <v>22</v>
      </c>
      <c r="B24" s="323"/>
      <c r="C24" s="323"/>
    </row>
    <row r="25" spans="1:3" ht="174.75" customHeight="1" x14ac:dyDescent="0.2">
      <c r="A25" s="323" t="s">
        <v>23</v>
      </c>
      <c r="B25" s="323"/>
      <c r="C25" s="323"/>
    </row>
    <row r="26" spans="1:3" x14ac:dyDescent="0.2">
      <c r="A26" s="319"/>
      <c r="B26" s="319"/>
      <c r="C26" s="319"/>
    </row>
    <row r="27" spans="1:3" ht="13.5" customHeight="1" x14ac:dyDescent="0.2">
      <c r="A27" s="322" t="s">
        <v>24</v>
      </c>
      <c r="B27" s="322"/>
      <c r="C27" s="322"/>
    </row>
    <row r="28" spans="1:3" ht="54" customHeight="1" x14ac:dyDescent="0.2">
      <c r="A28" s="323" t="s">
        <v>25</v>
      </c>
      <c r="B28" s="323"/>
      <c r="C28" s="323"/>
    </row>
    <row r="29" spans="1:3" ht="31.5" customHeight="1" x14ac:dyDescent="0.2">
      <c r="A29" s="323" t="s">
        <v>26</v>
      </c>
      <c r="B29" s="323"/>
      <c r="C29" s="323"/>
    </row>
    <row r="30" spans="1:3" ht="55.5" customHeight="1" x14ac:dyDescent="0.2">
      <c r="A30" s="323" t="s">
        <v>27</v>
      </c>
      <c r="B30" s="323"/>
      <c r="C30" s="323"/>
    </row>
    <row r="31" spans="1:3" x14ac:dyDescent="0.2">
      <c r="A31" s="319"/>
      <c r="B31" s="319"/>
      <c r="C31" s="319"/>
    </row>
    <row r="32" spans="1:3" x14ac:dyDescent="0.2">
      <c r="A32" s="321" t="s">
        <v>28</v>
      </c>
      <c r="B32" s="321"/>
      <c r="C32" s="321"/>
    </row>
    <row r="33" spans="1:3" ht="43.5" customHeight="1" x14ac:dyDescent="0.2">
      <c r="A33" s="319" t="s">
        <v>29</v>
      </c>
      <c r="B33" s="319"/>
      <c r="C33" s="319"/>
    </row>
    <row r="35" spans="1:3" x14ac:dyDescent="0.2">
      <c r="A35" s="321" t="s">
        <v>30</v>
      </c>
      <c r="B35" s="321"/>
      <c r="C35" s="321"/>
    </row>
    <row r="36" spans="1:3" ht="54" customHeight="1" x14ac:dyDescent="0.2">
      <c r="A36" s="319" t="s">
        <v>31</v>
      </c>
      <c r="B36" s="319"/>
      <c r="C36" s="319"/>
    </row>
    <row r="37" spans="1:3" x14ac:dyDescent="0.2">
      <c r="A37" s="319"/>
      <c r="B37" s="319"/>
      <c r="C37" s="319"/>
    </row>
    <row r="38" spans="1:3" x14ac:dyDescent="0.2">
      <c r="A38" s="321" t="s">
        <v>32</v>
      </c>
      <c r="B38" s="321"/>
      <c r="C38" s="321"/>
    </row>
    <row r="39" spans="1:3" ht="86.25" customHeight="1" x14ac:dyDescent="0.2">
      <c r="A39" s="319" t="s">
        <v>33</v>
      </c>
      <c r="B39" s="319"/>
      <c r="C39" s="319"/>
    </row>
    <row r="41" spans="1:3" x14ac:dyDescent="0.2">
      <c r="A41" s="321" t="s">
        <v>34</v>
      </c>
      <c r="B41" s="321"/>
      <c r="C41" s="321"/>
    </row>
    <row r="42" spans="1:3" ht="77.25" customHeight="1" x14ac:dyDescent="0.2">
      <c r="A42" s="319" t="s">
        <v>35</v>
      </c>
      <c r="B42" s="319"/>
      <c r="C42" s="319"/>
    </row>
  </sheetData>
  <sheetProtection algorithmName="SHA-512" hashValue="MtwfzFAWCCXWHPa4PlurVO65W+zBUZmbtJAjbI2kSlNGH0Jc6jG/YIxcMHrIRefGfwsk8AFu0Txt8tBMrPXXIQ==" saltValue="C8yxRxBERFZOcIU8E7hiJQ==" spinCount="100000" sheet="1" objects="1" scenarios="1"/>
  <mergeCells count="35">
    <mergeCell ref="A37:C37"/>
    <mergeCell ref="A38:C38"/>
    <mergeCell ref="A39:C39"/>
    <mergeCell ref="A41:C41"/>
    <mergeCell ref="A42:C42"/>
    <mergeCell ref="A36:C36"/>
    <mergeCell ref="A24:C24"/>
    <mergeCell ref="A25:C25"/>
    <mergeCell ref="A26:C26"/>
    <mergeCell ref="A27:C27"/>
    <mergeCell ref="A28:C28"/>
    <mergeCell ref="A29:C29"/>
    <mergeCell ref="A30:C30"/>
    <mergeCell ref="A31:C31"/>
    <mergeCell ref="A32:C32"/>
    <mergeCell ref="A33:C33"/>
    <mergeCell ref="A35:C35"/>
    <mergeCell ref="A23:C23"/>
    <mergeCell ref="A12:C12"/>
    <mergeCell ref="A13:C13"/>
    <mergeCell ref="A14:C14"/>
    <mergeCell ref="A15:C15"/>
    <mergeCell ref="A16:C16"/>
    <mergeCell ref="A17:C17"/>
    <mergeCell ref="A18:C18"/>
    <mergeCell ref="A19:C19"/>
    <mergeCell ref="A20:C20"/>
    <mergeCell ref="A21:C21"/>
    <mergeCell ref="A22:C22"/>
    <mergeCell ref="A11:C11"/>
    <mergeCell ref="A1:C1"/>
    <mergeCell ref="A2:C2"/>
    <mergeCell ref="A8:C8"/>
    <mergeCell ref="A9:C9"/>
    <mergeCell ref="A10:C10"/>
  </mergeCells>
  <printOptions horizontalCentered="1"/>
  <pageMargins left="0.7" right="0.7" top="0.75" bottom="0.75" header="0.3" footer="0.3"/>
  <pageSetup scale="83" orientation="portrait" horizontalDpi="4294967295" verticalDpi="4294967295" r:id="rId1"/>
  <headerFooter>
    <oddFooter>&amp;LCity of Santa Monica
Exhibit C2 - Program Budget&amp;C&amp;P&amp;RFiscal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163"/>
  <sheetViews>
    <sheetView showGridLines="0" zoomScale="80" zoomScaleNormal="80" workbookViewId="0">
      <selection activeCell="N1" sqref="N1"/>
    </sheetView>
  </sheetViews>
  <sheetFormatPr defaultColWidth="8.85546875" defaultRowHeight="12.75" outlineLevelRow="1" x14ac:dyDescent="0.2"/>
  <cols>
    <col min="1" max="1" width="36.140625" style="166" customWidth="1"/>
    <col min="2" max="2" width="32.5703125" style="166" customWidth="1"/>
    <col min="3" max="3" width="30.42578125" style="166" customWidth="1"/>
    <col min="4" max="4" width="11.140625" style="166" customWidth="1"/>
    <col min="5" max="5" width="10.85546875" style="166" customWidth="1"/>
    <col min="6" max="6" width="10" style="166" customWidth="1"/>
    <col min="7" max="9" width="14.85546875" style="166" customWidth="1"/>
    <col min="10" max="12" width="14.42578125" style="166" customWidth="1"/>
    <col min="13" max="13" width="13.85546875" style="8" bestFit="1" customWidth="1"/>
    <col min="14" max="14" width="16.7109375" style="7" customWidth="1"/>
    <col min="15" max="16384" width="8.85546875" style="166"/>
  </cols>
  <sheetData>
    <row r="1" spans="1:14" ht="18" x14ac:dyDescent="0.25">
      <c r="A1" s="163" t="s">
        <v>36</v>
      </c>
      <c r="B1" s="164"/>
      <c r="C1" s="165"/>
      <c r="D1" s="165"/>
      <c r="E1" s="165"/>
      <c r="F1" s="165"/>
      <c r="G1" s="165"/>
      <c r="H1" s="165"/>
      <c r="I1" s="165"/>
      <c r="J1" s="165"/>
      <c r="K1" s="165"/>
      <c r="L1" s="165"/>
      <c r="M1" s="19"/>
      <c r="N1" s="18"/>
    </row>
    <row r="2" spans="1:14" ht="18" x14ac:dyDescent="0.2">
      <c r="A2" s="167" t="s">
        <v>37</v>
      </c>
      <c r="B2" s="164"/>
      <c r="C2" s="165"/>
      <c r="D2" s="165"/>
      <c r="E2" s="165"/>
      <c r="F2" s="165"/>
      <c r="G2" s="165"/>
      <c r="H2" s="165"/>
      <c r="I2" s="165"/>
      <c r="J2" s="165"/>
      <c r="K2" s="165"/>
      <c r="L2" s="165"/>
      <c r="M2" s="19"/>
      <c r="N2" s="18"/>
    </row>
    <row r="3" spans="1:14" ht="13.5" thickBot="1" x14ac:dyDescent="0.25">
      <c r="A3" s="164"/>
      <c r="B3" s="164"/>
      <c r="C3" s="165"/>
      <c r="D3" s="165"/>
      <c r="E3" s="165"/>
      <c r="F3" s="165"/>
      <c r="G3" s="165"/>
      <c r="H3" s="165"/>
      <c r="I3" s="165"/>
      <c r="J3" s="165"/>
      <c r="K3" s="165"/>
      <c r="L3" s="165"/>
      <c r="M3" s="19"/>
      <c r="N3" s="18"/>
    </row>
    <row r="4" spans="1:14" ht="13.5" thickBot="1" x14ac:dyDescent="0.25">
      <c r="A4" s="168" t="s">
        <v>38</v>
      </c>
      <c r="B4" s="169"/>
      <c r="C4" s="169"/>
      <c r="D4" s="169"/>
      <c r="E4" s="169"/>
      <c r="F4" s="169"/>
      <c r="G4" s="169"/>
      <c r="H4" s="169"/>
      <c r="I4" s="169"/>
      <c r="J4" s="169"/>
      <c r="K4" s="169"/>
      <c r="L4" s="169"/>
      <c r="M4" s="68"/>
      <c r="N4" s="170"/>
    </row>
    <row r="5" spans="1:14" ht="33.75" x14ac:dyDescent="0.2">
      <c r="A5" s="171"/>
      <c r="B5" s="172"/>
      <c r="C5" s="172"/>
      <c r="D5" s="172"/>
      <c r="E5" s="172"/>
      <c r="F5" s="172"/>
      <c r="G5" s="173" t="s">
        <v>39</v>
      </c>
      <c r="H5" s="173" t="s">
        <v>40</v>
      </c>
      <c r="I5" s="173" t="s">
        <v>41</v>
      </c>
      <c r="J5" s="173" t="s">
        <v>42</v>
      </c>
      <c r="K5" s="173" t="s">
        <v>43</v>
      </c>
      <c r="L5" s="173" t="s">
        <v>44</v>
      </c>
      <c r="M5" s="74" t="s">
        <v>45</v>
      </c>
      <c r="N5" s="75" t="s">
        <v>46</v>
      </c>
    </row>
    <row r="6" spans="1:14" x14ac:dyDescent="0.2">
      <c r="A6" s="174" t="s">
        <v>47</v>
      </c>
      <c r="B6" s="175" t="s">
        <v>48</v>
      </c>
      <c r="C6" s="175"/>
      <c r="D6" s="176" t="str">
        <f>A24</f>
        <v>1A.  Staff Salaries</v>
      </c>
      <c r="G6" s="85">
        <f t="shared" ref="G6:I6" si="0">G63</f>
        <v>1105324.6885753605</v>
      </c>
      <c r="H6" s="85">
        <f t="shared" si="0"/>
        <v>158672.35280699999</v>
      </c>
      <c r="I6" s="85">
        <f t="shared" si="0"/>
        <v>946652.33576835995</v>
      </c>
      <c r="J6" s="85">
        <f t="shared" ref="J6:K6" si="1">J63</f>
        <v>79336.176403499994</v>
      </c>
      <c r="K6" s="85">
        <f t="shared" si="1"/>
        <v>79336.176403499994</v>
      </c>
      <c r="L6" s="85">
        <f>L63</f>
        <v>158672.35280699999</v>
      </c>
      <c r="M6" s="16">
        <f t="shared" ref="M6:M13" si="2">IFERROR(L6/H6,"N/A")</f>
        <v>1</v>
      </c>
      <c r="N6" s="87">
        <f>N63</f>
        <v>921048.09999999974</v>
      </c>
    </row>
    <row r="7" spans="1:14" x14ac:dyDescent="0.2">
      <c r="A7" s="174" t="s">
        <v>49</v>
      </c>
      <c r="B7" s="177" t="s">
        <v>50</v>
      </c>
      <c r="C7" s="177"/>
      <c r="D7" s="176" t="str">
        <f>A65</f>
        <v>1B.  Staff Fringe Benefits</v>
      </c>
      <c r="G7" s="85">
        <f t="shared" ref="G7:I7" si="3">G74</f>
        <v>257778.34904328902</v>
      </c>
      <c r="H7" s="85">
        <f t="shared" si="3"/>
        <v>36605.711790959998</v>
      </c>
      <c r="I7" s="85">
        <f t="shared" si="3"/>
        <v>221172.63725232903</v>
      </c>
      <c r="J7" s="85">
        <f>J74</f>
        <v>18303.475631360001</v>
      </c>
      <c r="K7" s="85">
        <f>K74</f>
        <v>18302.36563136</v>
      </c>
      <c r="L7" s="85">
        <f>L74</f>
        <v>36605.841262720001</v>
      </c>
      <c r="M7" s="16">
        <f t="shared" si="2"/>
        <v>1.0000035369278091</v>
      </c>
      <c r="N7" s="87">
        <f>N74</f>
        <v>301727.08999999997</v>
      </c>
    </row>
    <row r="8" spans="1:14" x14ac:dyDescent="0.2">
      <c r="A8" s="178"/>
      <c r="D8" s="176" t="str">
        <f>A76</f>
        <v>2.  Consultant Services</v>
      </c>
      <c r="G8" s="85">
        <f t="shared" ref="G8:I8" si="4">G82</f>
        <v>73.584999999999994</v>
      </c>
      <c r="H8" s="85">
        <f t="shared" si="4"/>
        <v>0</v>
      </c>
      <c r="I8" s="85">
        <f t="shared" si="4"/>
        <v>73.584999999999994</v>
      </c>
      <c r="J8" s="85">
        <f>J82</f>
        <v>0</v>
      </c>
      <c r="K8" s="85">
        <f>K82</f>
        <v>0</v>
      </c>
      <c r="L8" s="85">
        <f>L82</f>
        <v>0</v>
      </c>
      <c r="M8" s="16" t="str">
        <f t="shared" si="2"/>
        <v>N/A</v>
      </c>
      <c r="N8" s="87">
        <f>N82</f>
        <v>19019.57</v>
      </c>
    </row>
    <row r="9" spans="1:14" x14ac:dyDescent="0.2">
      <c r="A9" s="178"/>
      <c r="D9" s="176" t="str">
        <f>A84</f>
        <v>3.  Operating Expenses</v>
      </c>
      <c r="G9" s="85">
        <f t="shared" ref="G9:L9" si="5">G106</f>
        <v>407996.90450041089</v>
      </c>
      <c r="H9" s="85">
        <f t="shared" si="5"/>
        <v>142369.19950000002</v>
      </c>
      <c r="I9" s="85">
        <f t="shared" si="5"/>
        <v>265627.70500041085</v>
      </c>
      <c r="J9" s="85">
        <f t="shared" si="5"/>
        <v>70452.05475000001</v>
      </c>
      <c r="K9" s="85">
        <f t="shared" si="5"/>
        <v>71917.014750000002</v>
      </c>
      <c r="L9" s="85">
        <f t="shared" si="5"/>
        <v>142369.06950000004</v>
      </c>
      <c r="M9" s="16">
        <f t="shared" si="2"/>
        <v>0.99999908688114825</v>
      </c>
      <c r="N9" s="87">
        <f>N106</f>
        <v>483949.19000000018</v>
      </c>
    </row>
    <row r="10" spans="1:14" x14ac:dyDescent="0.2">
      <c r="A10" s="179" t="s">
        <v>51</v>
      </c>
      <c r="B10" s="180" t="s">
        <v>61</v>
      </c>
      <c r="D10" s="176" t="str">
        <f>A108</f>
        <v>4.  Direct Client Support</v>
      </c>
      <c r="G10" s="85">
        <f>G115</f>
        <v>21870.330000000005</v>
      </c>
      <c r="H10" s="85">
        <f t="shared" ref="H10:N10" si="6">H115</f>
        <v>5563.92</v>
      </c>
      <c r="I10" s="85">
        <f t="shared" si="6"/>
        <v>16306.410000000005</v>
      </c>
      <c r="J10" s="85">
        <f t="shared" si="6"/>
        <v>2781.96</v>
      </c>
      <c r="K10" s="85">
        <f t="shared" si="6"/>
        <v>2781.96</v>
      </c>
      <c r="L10" s="85">
        <f t="shared" si="6"/>
        <v>5563.92</v>
      </c>
      <c r="M10" s="16">
        <f t="shared" si="2"/>
        <v>1</v>
      </c>
      <c r="N10" s="87">
        <f t="shared" si="6"/>
        <v>19625.229999999992</v>
      </c>
    </row>
    <row r="11" spans="1:14" x14ac:dyDescent="0.2">
      <c r="A11" s="178"/>
      <c r="D11" s="176" t="str">
        <f>A117</f>
        <v>5.  Other</v>
      </c>
      <c r="G11" s="85">
        <f>G123</f>
        <v>0</v>
      </c>
      <c r="H11" s="85">
        <f t="shared" ref="H11:N11" si="7">H123</f>
        <v>0</v>
      </c>
      <c r="I11" s="85">
        <f t="shared" si="7"/>
        <v>0</v>
      </c>
      <c r="J11" s="85">
        <f t="shared" si="7"/>
        <v>0</v>
      </c>
      <c r="K11" s="85">
        <f t="shared" si="7"/>
        <v>0</v>
      </c>
      <c r="L11" s="85">
        <f t="shared" si="7"/>
        <v>0</v>
      </c>
      <c r="M11" s="16" t="str">
        <f t="shared" si="2"/>
        <v>N/A</v>
      </c>
      <c r="N11" s="87">
        <f t="shared" si="7"/>
        <v>0</v>
      </c>
    </row>
    <row r="12" spans="1:14" x14ac:dyDescent="0.2">
      <c r="A12" s="178"/>
      <c r="D12" s="176" t="str">
        <f>A125</f>
        <v>6.  Indirect Administrative Costs</v>
      </c>
      <c r="G12" s="85">
        <f>G132</f>
        <v>187907.27805876118</v>
      </c>
      <c r="H12" s="85">
        <f t="shared" ref="H12:L12" si="8">H132</f>
        <v>34321</v>
      </c>
      <c r="I12" s="85">
        <f t="shared" si="8"/>
        <v>153586.27805876118</v>
      </c>
      <c r="J12" s="85">
        <f t="shared" si="8"/>
        <v>17160.480000000003</v>
      </c>
      <c r="K12" s="85">
        <f t="shared" si="8"/>
        <v>17160.480000000003</v>
      </c>
      <c r="L12" s="85">
        <f t="shared" si="8"/>
        <v>34320.960000000006</v>
      </c>
      <c r="M12" s="16">
        <f t="shared" si="2"/>
        <v>0.99999883453279348</v>
      </c>
      <c r="N12" s="87">
        <f>N132</f>
        <v>84736.38</v>
      </c>
    </row>
    <row r="13" spans="1:14" x14ac:dyDescent="0.2">
      <c r="A13" s="178" t="s">
        <v>53</v>
      </c>
      <c r="B13" s="181">
        <f>188767*2-1.8</f>
        <v>377532.2</v>
      </c>
      <c r="D13" s="182" t="str">
        <f>C134</f>
        <v>7.   TOTAL BUDGET</v>
      </c>
      <c r="E13" s="164"/>
      <c r="F13" s="164"/>
      <c r="G13" s="86">
        <f>G134</f>
        <v>1980951.1351778216</v>
      </c>
      <c r="H13" s="86">
        <f t="shared" ref="H13:L13" si="9">H134</f>
        <v>377532.18409796001</v>
      </c>
      <c r="I13" s="86">
        <f t="shared" si="9"/>
        <v>1603418.951079861</v>
      </c>
      <c r="J13" s="86">
        <f t="shared" si="9"/>
        <v>188034.14678486</v>
      </c>
      <c r="K13" s="86">
        <f t="shared" si="9"/>
        <v>189497.99678486001</v>
      </c>
      <c r="L13" s="86">
        <f t="shared" si="9"/>
        <v>377532.14356972004</v>
      </c>
      <c r="M13" s="17">
        <f t="shared" si="2"/>
        <v>0.99999989264957612</v>
      </c>
      <c r="N13" s="88">
        <f>N134</f>
        <v>1830105.5599999998</v>
      </c>
    </row>
    <row r="14" spans="1:14" x14ac:dyDescent="0.2">
      <c r="A14" s="178" t="s">
        <v>54</v>
      </c>
      <c r="B14" s="101">
        <f>L13</f>
        <v>377532.14356972004</v>
      </c>
      <c r="M14" s="166"/>
      <c r="N14" s="183"/>
    </row>
    <row r="15" spans="1:14" x14ac:dyDescent="0.2">
      <c r="A15" s="178" t="s">
        <v>55</v>
      </c>
      <c r="B15" s="101">
        <f>B13-B14</f>
        <v>5.6430279975757003E-2</v>
      </c>
      <c r="M15" s="166"/>
      <c r="N15" s="183"/>
    </row>
    <row r="16" spans="1:14" x14ac:dyDescent="0.2">
      <c r="A16" s="178"/>
      <c r="M16" s="166"/>
      <c r="N16" s="183"/>
    </row>
    <row r="17" spans="1:14" ht="13.5" thickBot="1" x14ac:dyDescent="0.25">
      <c r="A17" s="184"/>
      <c r="B17" s="185"/>
      <c r="C17" s="186"/>
      <c r="D17" s="185"/>
      <c r="E17" s="185"/>
      <c r="F17" s="185"/>
      <c r="G17" s="186"/>
      <c r="H17" s="186"/>
      <c r="I17" s="186"/>
      <c r="J17" s="186"/>
      <c r="K17" s="186"/>
      <c r="L17" s="186"/>
      <c r="M17" s="186"/>
      <c r="N17" s="187"/>
    </row>
    <row r="18" spans="1:14" ht="13.5" thickBot="1" x14ac:dyDescent="0.25">
      <c r="A18" s="164"/>
      <c r="D18" s="164"/>
      <c r="E18" s="164"/>
      <c r="F18" s="164"/>
      <c r="G18" s="35"/>
      <c r="H18" s="35"/>
      <c r="I18" s="35"/>
      <c r="J18" s="35"/>
      <c r="K18" s="35"/>
      <c r="L18" s="35"/>
      <c r="M18" s="31"/>
      <c r="N18" s="35"/>
    </row>
    <row r="19" spans="1:14" ht="13.5" hidden="1" thickBot="1" x14ac:dyDescent="0.25">
      <c r="A19" s="171" t="s">
        <v>52</v>
      </c>
      <c r="B19" s="172"/>
      <c r="C19" s="172" t="s">
        <v>56</v>
      </c>
      <c r="D19" s="188"/>
      <c r="E19" s="188"/>
      <c r="F19" s="172" t="s">
        <v>57</v>
      </c>
      <c r="G19" s="77"/>
      <c r="H19" s="77"/>
      <c r="I19" s="77"/>
      <c r="J19" s="77"/>
      <c r="K19" s="77"/>
      <c r="L19" s="77"/>
      <c r="M19" s="78"/>
      <c r="N19" s="79"/>
    </row>
    <row r="20" spans="1:14" ht="13.5" hidden="1" thickBot="1" x14ac:dyDescent="0.25">
      <c r="A20" s="178" t="s">
        <v>58</v>
      </c>
      <c r="C20" s="166" t="s">
        <v>59</v>
      </c>
      <c r="D20" s="164"/>
      <c r="E20" s="164"/>
      <c r="F20" s="166" t="s">
        <v>60</v>
      </c>
      <c r="G20" s="35"/>
      <c r="H20" s="35"/>
      <c r="I20" s="35"/>
      <c r="J20" s="35"/>
      <c r="K20" s="35"/>
      <c r="L20" s="35"/>
      <c r="M20" s="31"/>
      <c r="N20" s="80"/>
    </row>
    <row r="21" spans="1:14" ht="13.5" hidden="1" thickBot="1" x14ac:dyDescent="0.25">
      <c r="A21" s="189" t="s">
        <v>61</v>
      </c>
      <c r="B21" s="186"/>
      <c r="C21" s="166" t="s">
        <v>62</v>
      </c>
      <c r="D21" s="186"/>
      <c r="E21" s="186"/>
      <c r="F21" s="186" t="s">
        <v>63</v>
      </c>
      <c r="G21" s="186"/>
      <c r="H21" s="186"/>
      <c r="I21" s="186"/>
      <c r="J21" s="186"/>
      <c r="K21" s="186"/>
      <c r="L21" s="186"/>
      <c r="M21" s="10"/>
      <c r="N21" s="81"/>
    </row>
    <row r="22" spans="1:14" ht="13.5" thickBot="1" x14ac:dyDescent="0.25">
      <c r="A22" s="168" t="s">
        <v>64</v>
      </c>
      <c r="B22" s="169"/>
      <c r="C22" s="169"/>
      <c r="D22" s="169"/>
      <c r="E22" s="169"/>
      <c r="F22" s="169"/>
      <c r="G22" s="169"/>
      <c r="H22" s="169"/>
      <c r="I22" s="169"/>
      <c r="J22" s="169"/>
      <c r="K22" s="169"/>
      <c r="L22" s="169"/>
      <c r="M22" s="68"/>
      <c r="N22" s="170"/>
    </row>
    <row r="23" spans="1:14" ht="13.5" thickBot="1" x14ac:dyDescent="0.25"/>
    <row r="24" spans="1:14" x14ac:dyDescent="0.2">
      <c r="A24" s="190" t="s">
        <v>65</v>
      </c>
      <c r="B24" s="191"/>
      <c r="C24" s="191"/>
      <c r="D24" s="191"/>
      <c r="E24" s="191"/>
      <c r="F24" s="192"/>
      <c r="G24" s="193"/>
      <c r="H24" s="193"/>
      <c r="I24" s="193"/>
      <c r="J24" s="193"/>
      <c r="K24" s="193"/>
      <c r="L24" s="193"/>
      <c r="M24" s="63"/>
      <c r="N24" s="64"/>
    </row>
    <row r="25" spans="1:14" s="198" customFormat="1" ht="11.25" x14ac:dyDescent="0.2">
      <c r="A25" s="194" t="s">
        <v>66</v>
      </c>
      <c r="B25" s="195"/>
      <c r="C25" s="195"/>
      <c r="D25" s="195"/>
      <c r="E25" s="195"/>
      <c r="F25" s="196"/>
      <c r="G25" s="197"/>
      <c r="H25" s="197"/>
      <c r="I25" s="197"/>
      <c r="J25" s="197"/>
      <c r="K25" s="197"/>
      <c r="L25" s="197"/>
      <c r="M25" s="6"/>
      <c r="N25" s="65"/>
    </row>
    <row r="26" spans="1:14" s="198" customFormat="1" ht="33.75" x14ac:dyDescent="0.2">
      <c r="A26" s="199" t="s">
        <v>67</v>
      </c>
      <c r="B26" s="200" t="s">
        <v>68</v>
      </c>
      <c r="C26" s="201" t="s">
        <v>69</v>
      </c>
      <c r="D26" s="201" t="s">
        <v>70</v>
      </c>
      <c r="E26" s="201"/>
      <c r="F26" s="201"/>
      <c r="G26" s="201" t="s">
        <v>39</v>
      </c>
      <c r="H26" s="201" t="s">
        <v>40</v>
      </c>
      <c r="I26" s="201" t="s">
        <v>41</v>
      </c>
      <c r="J26" s="201" t="s">
        <v>42</v>
      </c>
      <c r="K26" s="201" t="s">
        <v>43</v>
      </c>
      <c r="L26" s="201" t="s">
        <v>44</v>
      </c>
      <c r="M26" s="23" t="s">
        <v>45</v>
      </c>
      <c r="N26" s="66" t="s">
        <v>46</v>
      </c>
    </row>
    <row r="27" spans="1:14" hidden="1" outlineLevel="1" x14ac:dyDescent="0.2">
      <c r="A27" s="202" t="s">
        <v>71</v>
      </c>
      <c r="B27" s="203" t="s">
        <v>72</v>
      </c>
      <c r="C27" s="204" t="s">
        <v>62</v>
      </c>
      <c r="D27" s="205">
        <v>1</v>
      </c>
      <c r="E27" s="144">
        <v>1</v>
      </c>
      <c r="F27" s="206">
        <v>12</v>
      </c>
      <c r="G27" s="145">
        <v>67485</v>
      </c>
      <c r="H27" s="145">
        <v>0</v>
      </c>
      <c r="I27" s="85">
        <f t="shared" ref="I27:I57" si="10">G27-H27</f>
        <v>67485</v>
      </c>
      <c r="J27" s="207">
        <v>0</v>
      </c>
      <c r="K27" s="207">
        <v>0</v>
      </c>
      <c r="L27" s="208">
        <f t="shared" ref="L27:L57" si="11">SUM(J27:K27)</f>
        <v>0</v>
      </c>
      <c r="M27" s="16" t="str">
        <f t="shared" ref="M27:M60" si="12">IFERROR(L27/H27,"N/A")</f>
        <v>N/A</v>
      </c>
      <c r="N27" s="209">
        <v>86359.059999999969</v>
      </c>
    </row>
    <row r="28" spans="1:14" hidden="1" outlineLevel="1" x14ac:dyDescent="0.2">
      <c r="A28" s="202" t="s">
        <v>73</v>
      </c>
      <c r="B28" s="203" t="s">
        <v>74</v>
      </c>
      <c r="C28" s="204" t="s">
        <v>62</v>
      </c>
      <c r="D28" s="205">
        <v>1</v>
      </c>
      <c r="E28" s="144">
        <v>0.5</v>
      </c>
      <c r="F28" s="206">
        <v>12</v>
      </c>
      <c r="G28" s="145">
        <v>15908.464</v>
      </c>
      <c r="H28" s="145">
        <v>0</v>
      </c>
      <c r="I28" s="89">
        <f t="shared" si="10"/>
        <v>15908.464</v>
      </c>
      <c r="J28" s="207">
        <v>0</v>
      </c>
      <c r="K28" s="207">
        <v>0</v>
      </c>
      <c r="L28" s="208">
        <f t="shared" si="11"/>
        <v>0</v>
      </c>
      <c r="M28" s="16" t="str">
        <f t="shared" si="12"/>
        <v>N/A</v>
      </c>
      <c r="N28" s="209">
        <v>0</v>
      </c>
    </row>
    <row r="29" spans="1:14" hidden="1" outlineLevel="1" x14ac:dyDescent="0.2">
      <c r="A29" s="202" t="s">
        <v>75</v>
      </c>
      <c r="B29" s="203" t="s">
        <v>76</v>
      </c>
      <c r="C29" s="204" t="s">
        <v>62</v>
      </c>
      <c r="D29" s="205">
        <v>1</v>
      </c>
      <c r="E29" s="144">
        <v>1</v>
      </c>
      <c r="F29" s="206">
        <v>12</v>
      </c>
      <c r="G29" s="145">
        <v>43190.400000000001</v>
      </c>
      <c r="H29" s="145">
        <v>0</v>
      </c>
      <c r="I29" s="89">
        <f t="shared" si="10"/>
        <v>43190.400000000001</v>
      </c>
      <c r="J29" s="207">
        <v>0</v>
      </c>
      <c r="K29" s="207">
        <v>0</v>
      </c>
      <c r="L29" s="208">
        <f t="shared" si="11"/>
        <v>0</v>
      </c>
      <c r="M29" s="16" t="str">
        <f t="shared" si="12"/>
        <v>N/A</v>
      </c>
      <c r="N29" s="209">
        <v>27729.03</v>
      </c>
    </row>
    <row r="30" spans="1:14" hidden="1" outlineLevel="1" x14ac:dyDescent="0.2">
      <c r="A30" s="202" t="s">
        <v>77</v>
      </c>
      <c r="B30" s="203" t="s">
        <v>78</v>
      </c>
      <c r="C30" s="204" t="s">
        <v>62</v>
      </c>
      <c r="D30" s="205">
        <v>1</v>
      </c>
      <c r="E30" s="144">
        <v>1</v>
      </c>
      <c r="F30" s="206">
        <v>12</v>
      </c>
      <c r="G30" s="145">
        <v>43196.158719999999</v>
      </c>
      <c r="H30" s="145">
        <v>0</v>
      </c>
      <c r="I30" s="89">
        <f t="shared" si="10"/>
        <v>43196.158719999999</v>
      </c>
      <c r="J30" s="207">
        <v>0</v>
      </c>
      <c r="K30" s="207">
        <v>0</v>
      </c>
      <c r="L30" s="208">
        <f t="shared" si="11"/>
        <v>0</v>
      </c>
      <c r="M30" s="16" t="str">
        <f t="shared" si="12"/>
        <v>N/A</v>
      </c>
      <c r="N30" s="209">
        <v>20330.010000000002</v>
      </c>
    </row>
    <row r="31" spans="1:14" hidden="1" outlineLevel="1" x14ac:dyDescent="0.2">
      <c r="A31" s="202" t="s">
        <v>79</v>
      </c>
      <c r="B31" s="203" t="s">
        <v>78</v>
      </c>
      <c r="C31" s="204" t="s">
        <v>62</v>
      </c>
      <c r="D31" s="205">
        <v>1</v>
      </c>
      <c r="E31" s="144">
        <v>1</v>
      </c>
      <c r="F31" s="206">
        <v>12</v>
      </c>
      <c r="G31" s="145">
        <v>43195.798800000004</v>
      </c>
      <c r="H31" s="145">
        <v>0</v>
      </c>
      <c r="I31" s="89">
        <f t="shared" si="10"/>
        <v>43195.798800000004</v>
      </c>
      <c r="J31" s="207">
        <v>0</v>
      </c>
      <c r="K31" s="207">
        <v>0</v>
      </c>
      <c r="L31" s="208">
        <f t="shared" si="11"/>
        <v>0</v>
      </c>
      <c r="M31" s="16" t="str">
        <f t="shared" si="12"/>
        <v>N/A</v>
      </c>
      <c r="N31" s="209">
        <v>45625.849999999991</v>
      </c>
    </row>
    <row r="32" spans="1:14" hidden="1" outlineLevel="1" x14ac:dyDescent="0.2">
      <c r="A32" s="202" t="s">
        <v>80</v>
      </c>
      <c r="B32" s="203" t="s">
        <v>81</v>
      </c>
      <c r="C32" s="204" t="s">
        <v>62</v>
      </c>
      <c r="D32" s="205">
        <v>1</v>
      </c>
      <c r="E32" s="144">
        <v>7.0000000000000007E-2</v>
      </c>
      <c r="F32" s="206">
        <v>12</v>
      </c>
      <c r="G32" s="145">
        <v>26217.223535360001</v>
      </c>
      <c r="H32" s="145">
        <v>0</v>
      </c>
      <c r="I32" s="89">
        <f t="shared" si="10"/>
        <v>26217.223535360001</v>
      </c>
      <c r="J32" s="207">
        <v>0</v>
      </c>
      <c r="K32" s="207">
        <v>0</v>
      </c>
      <c r="L32" s="208">
        <f t="shared" si="11"/>
        <v>0</v>
      </c>
      <c r="M32" s="16" t="str">
        <f t="shared" si="12"/>
        <v>N/A</v>
      </c>
      <c r="N32" s="209">
        <v>24022.559999999998</v>
      </c>
    </row>
    <row r="33" spans="1:14" hidden="1" outlineLevel="1" x14ac:dyDescent="0.2">
      <c r="A33" s="202" t="s">
        <v>82</v>
      </c>
      <c r="B33" s="203" t="s">
        <v>83</v>
      </c>
      <c r="C33" s="204" t="s">
        <v>62</v>
      </c>
      <c r="D33" s="205">
        <v>1</v>
      </c>
      <c r="E33" s="144">
        <v>0.2</v>
      </c>
      <c r="F33" s="206">
        <v>12</v>
      </c>
      <c r="G33" s="145">
        <v>76483</v>
      </c>
      <c r="H33" s="145">
        <v>0</v>
      </c>
      <c r="I33" s="89">
        <f t="shared" si="10"/>
        <v>76483</v>
      </c>
      <c r="J33" s="207">
        <v>0</v>
      </c>
      <c r="K33" s="207">
        <v>0</v>
      </c>
      <c r="L33" s="208">
        <f t="shared" si="11"/>
        <v>0</v>
      </c>
      <c r="M33" s="16" t="str">
        <f t="shared" si="12"/>
        <v>N/A</v>
      </c>
      <c r="N33" s="209">
        <v>80786.579999999987</v>
      </c>
    </row>
    <row r="34" spans="1:14" hidden="1" outlineLevel="1" x14ac:dyDescent="0.2">
      <c r="A34" s="202" t="s">
        <v>84</v>
      </c>
      <c r="B34" s="203" t="s">
        <v>85</v>
      </c>
      <c r="C34" s="204" t="s">
        <v>62</v>
      </c>
      <c r="D34" s="205">
        <v>1</v>
      </c>
      <c r="E34" s="144">
        <v>0.5</v>
      </c>
      <c r="F34" s="206">
        <v>12</v>
      </c>
      <c r="G34" s="145">
        <v>31816.928</v>
      </c>
      <c r="H34" s="145">
        <v>0</v>
      </c>
      <c r="I34" s="89">
        <f t="shared" si="10"/>
        <v>31816.928</v>
      </c>
      <c r="J34" s="207">
        <v>0</v>
      </c>
      <c r="K34" s="207">
        <v>0</v>
      </c>
      <c r="L34" s="208">
        <f t="shared" si="11"/>
        <v>0</v>
      </c>
      <c r="M34" s="16" t="str">
        <f t="shared" si="12"/>
        <v>N/A</v>
      </c>
      <c r="N34" s="209">
        <v>26681.870000000017</v>
      </c>
    </row>
    <row r="35" spans="1:14" hidden="1" outlineLevel="1" x14ac:dyDescent="0.2">
      <c r="A35" s="202" t="s">
        <v>86</v>
      </c>
      <c r="B35" s="203" t="s">
        <v>85</v>
      </c>
      <c r="C35" s="204" t="s">
        <v>62</v>
      </c>
      <c r="D35" s="205">
        <v>1</v>
      </c>
      <c r="E35" s="144">
        <v>0.5</v>
      </c>
      <c r="F35" s="206">
        <v>12</v>
      </c>
      <c r="G35" s="145">
        <v>31816.928</v>
      </c>
      <c r="H35" s="145">
        <v>15908.464</v>
      </c>
      <c r="I35" s="89">
        <f t="shared" si="10"/>
        <v>15908.464</v>
      </c>
      <c r="J35" s="207">
        <v>7954.232</v>
      </c>
      <c r="K35" s="207">
        <v>7954.232</v>
      </c>
      <c r="L35" s="208">
        <f t="shared" si="11"/>
        <v>15908.464</v>
      </c>
      <c r="M35" s="16">
        <f t="shared" si="12"/>
        <v>1</v>
      </c>
      <c r="N35" s="209">
        <v>34629.32</v>
      </c>
    </row>
    <row r="36" spans="1:14" hidden="1" outlineLevel="1" x14ac:dyDescent="0.2">
      <c r="A36" s="202" t="s">
        <v>87</v>
      </c>
      <c r="B36" s="203" t="s">
        <v>85</v>
      </c>
      <c r="C36" s="204" t="s">
        <v>62</v>
      </c>
      <c r="D36" s="205">
        <v>1</v>
      </c>
      <c r="E36" s="144">
        <v>1</v>
      </c>
      <c r="F36" s="206">
        <v>12</v>
      </c>
      <c r="G36" s="145">
        <v>31816.928</v>
      </c>
      <c r="H36" s="145">
        <v>0</v>
      </c>
      <c r="I36" s="89">
        <f t="shared" si="10"/>
        <v>31816.928</v>
      </c>
      <c r="J36" s="207">
        <v>0</v>
      </c>
      <c r="K36" s="207">
        <v>0</v>
      </c>
      <c r="L36" s="208">
        <f t="shared" si="11"/>
        <v>0</v>
      </c>
      <c r="M36" s="16" t="str">
        <f t="shared" si="12"/>
        <v>N/A</v>
      </c>
      <c r="N36" s="209">
        <v>40405.319999999992</v>
      </c>
    </row>
    <row r="37" spans="1:14" hidden="1" outlineLevel="1" x14ac:dyDescent="0.2">
      <c r="A37" s="202" t="s">
        <v>88</v>
      </c>
      <c r="B37" s="203" t="s">
        <v>89</v>
      </c>
      <c r="C37" s="204" t="s">
        <v>62</v>
      </c>
      <c r="D37" s="205">
        <v>1</v>
      </c>
      <c r="E37" s="144">
        <v>1</v>
      </c>
      <c r="F37" s="206">
        <v>12</v>
      </c>
      <c r="G37" s="145">
        <v>33763.375359999998</v>
      </c>
      <c r="H37" s="145">
        <v>0</v>
      </c>
      <c r="I37" s="89">
        <f t="shared" si="10"/>
        <v>33763.375359999998</v>
      </c>
      <c r="J37" s="207">
        <v>0</v>
      </c>
      <c r="K37" s="207">
        <v>0</v>
      </c>
      <c r="L37" s="208">
        <f t="shared" si="11"/>
        <v>0</v>
      </c>
      <c r="M37" s="16" t="str">
        <f t="shared" si="12"/>
        <v>N/A</v>
      </c>
      <c r="N37" s="209">
        <v>10139.370000000001</v>
      </c>
    </row>
    <row r="38" spans="1:14" hidden="1" outlineLevel="1" x14ac:dyDescent="0.2">
      <c r="A38" s="202" t="s">
        <v>90</v>
      </c>
      <c r="B38" s="203" t="s">
        <v>91</v>
      </c>
      <c r="C38" s="204" t="s">
        <v>62</v>
      </c>
      <c r="D38" s="205">
        <v>1</v>
      </c>
      <c r="E38" s="144">
        <v>0.5</v>
      </c>
      <c r="F38" s="206">
        <v>12</v>
      </c>
      <c r="G38" s="145">
        <v>32771.435840000006</v>
      </c>
      <c r="H38" s="145">
        <v>16385.717920000003</v>
      </c>
      <c r="I38" s="89">
        <f t="shared" si="10"/>
        <v>16385.717920000003</v>
      </c>
      <c r="J38" s="207">
        <v>8192.8589600000014</v>
      </c>
      <c r="K38" s="207">
        <v>8192.8589600000014</v>
      </c>
      <c r="L38" s="208">
        <f t="shared" si="11"/>
        <v>16385.717920000003</v>
      </c>
      <c r="M38" s="16">
        <f t="shared" si="12"/>
        <v>1</v>
      </c>
      <c r="N38" s="209">
        <v>27177.060000000005</v>
      </c>
    </row>
    <row r="39" spans="1:14" hidden="1" outlineLevel="1" x14ac:dyDescent="0.2">
      <c r="A39" s="202" t="s">
        <v>92</v>
      </c>
      <c r="B39" s="203" t="s">
        <v>93</v>
      </c>
      <c r="C39" s="204" t="s">
        <v>62</v>
      </c>
      <c r="D39" s="205">
        <v>1</v>
      </c>
      <c r="E39" s="144">
        <v>0.71</v>
      </c>
      <c r="F39" s="206">
        <v>12</v>
      </c>
      <c r="G39" s="145">
        <v>56147.520000000004</v>
      </c>
      <c r="H39" s="145">
        <v>0</v>
      </c>
      <c r="I39" s="89">
        <f t="shared" si="10"/>
        <v>56147.520000000004</v>
      </c>
      <c r="J39" s="207">
        <v>0</v>
      </c>
      <c r="K39" s="207">
        <v>0</v>
      </c>
      <c r="L39" s="208">
        <f t="shared" si="11"/>
        <v>0</v>
      </c>
      <c r="M39" s="16" t="str">
        <f t="shared" si="12"/>
        <v>N/A</v>
      </c>
      <c r="N39" s="209">
        <v>11540.55</v>
      </c>
    </row>
    <row r="40" spans="1:14" hidden="1" outlineLevel="1" x14ac:dyDescent="0.2">
      <c r="A40" s="202" t="s">
        <v>94</v>
      </c>
      <c r="B40" s="203" t="s">
        <v>95</v>
      </c>
      <c r="C40" s="204" t="s">
        <v>62</v>
      </c>
      <c r="D40" s="205">
        <v>1</v>
      </c>
      <c r="E40" s="144">
        <v>1</v>
      </c>
      <c r="F40" s="206">
        <v>12</v>
      </c>
      <c r="G40" s="145">
        <v>56147.520000000004</v>
      </c>
      <c r="H40" s="145">
        <v>0</v>
      </c>
      <c r="I40" s="89">
        <f t="shared" si="10"/>
        <v>56147.520000000004</v>
      </c>
      <c r="J40" s="207">
        <v>0</v>
      </c>
      <c r="K40" s="207">
        <v>0</v>
      </c>
      <c r="L40" s="208">
        <f t="shared" si="11"/>
        <v>0</v>
      </c>
      <c r="M40" s="16" t="str">
        <f t="shared" si="12"/>
        <v>N/A</v>
      </c>
      <c r="N40" s="209">
        <v>20657.75</v>
      </c>
    </row>
    <row r="41" spans="1:14" hidden="1" outlineLevel="1" x14ac:dyDescent="0.2">
      <c r="A41" s="202" t="s">
        <v>98</v>
      </c>
      <c r="B41" s="203" t="s">
        <v>99</v>
      </c>
      <c r="C41" s="204" t="s">
        <v>62</v>
      </c>
      <c r="D41" s="205">
        <v>1</v>
      </c>
      <c r="E41" s="144">
        <v>0.1</v>
      </c>
      <c r="F41" s="206">
        <v>12</v>
      </c>
      <c r="G41" s="145">
        <v>75583.199999999997</v>
      </c>
      <c r="H41" s="145">
        <v>16291.599999999999</v>
      </c>
      <c r="I41" s="89">
        <f t="shared" si="10"/>
        <v>59291.6</v>
      </c>
      <c r="J41" s="207">
        <v>8145.7999999999993</v>
      </c>
      <c r="K41" s="207">
        <v>8145.7999999999993</v>
      </c>
      <c r="L41" s="208">
        <f t="shared" si="11"/>
        <v>16291.599999999999</v>
      </c>
      <c r="M41" s="16">
        <f t="shared" si="12"/>
        <v>1</v>
      </c>
      <c r="N41" s="209">
        <v>58214.019999999975</v>
      </c>
    </row>
    <row r="42" spans="1:14" hidden="1" outlineLevel="1" x14ac:dyDescent="0.2">
      <c r="A42" s="202" t="s">
        <v>100</v>
      </c>
      <c r="B42" s="203" t="s">
        <v>101</v>
      </c>
      <c r="C42" s="204" t="s">
        <v>62</v>
      </c>
      <c r="D42" s="205">
        <v>1</v>
      </c>
      <c r="E42" s="144">
        <v>1</v>
      </c>
      <c r="F42" s="206">
        <v>12</v>
      </c>
      <c r="G42" s="145">
        <v>32378.403200000001</v>
      </c>
      <c r="H42" s="145">
        <v>0</v>
      </c>
      <c r="I42" s="89">
        <f t="shared" si="10"/>
        <v>32378.403200000001</v>
      </c>
      <c r="J42" s="207">
        <v>0</v>
      </c>
      <c r="K42" s="207">
        <v>0</v>
      </c>
      <c r="L42" s="208">
        <f t="shared" si="11"/>
        <v>0</v>
      </c>
      <c r="M42" s="16" t="str">
        <f t="shared" si="12"/>
        <v>N/A</v>
      </c>
      <c r="N42" s="209">
        <v>21661.61</v>
      </c>
    </row>
    <row r="43" spans="1:14" hidden="1" outlineLevel="1" x14ac:dyDescent="0.2">
      <c r="A43" s="202" t="s">
        <v>102</v>
      </c>
      <c r="B43" s="203" t="s">
        <v>101</v>
      </c>
      <c r="C43" s="204" t="s">
        <v>62</v>
      </c>
      <c r="D43" s="205">
        <v>1</v>
      </c>
      <c r="E43" s="144">
        <v>1</v>
      </c>
      <c r="F43" s="206">
        <v>12</v>
      </c>
      <c r="G43" s="145">
        <v>32378.403200000001</v>
      </c>
      <c r="H43" s="145">
        <v>0</v>
      </c>
      <c r="I43" s="89">
        <f t="shared" si="10"/>
        <v>32378.403200000001</v>
      </c>
      <c r="J43" s="207">
        <v>0</v>
      </c>
      <c r="K43" s="207">
        <v>0</v>
      </c>
      <c r="L43" s="208">
        <f t="shared" si="11"/>
        <v>0</v>
      </c>
      <c r="M43" s="16" t="str">
        <f t="shared" si="12"/>
        <v>N/A</v>
      </c>
      <c r="N43" s="209">
        <v>3181.4700000000003</v>
      </c>
    </row>
    <row r="44" spans="1:14" hidden="1" outlineLevel="1" x14ac:dyDescent="0.2">
      <c r="A44" s="202" t="s">
        <v>103</v>
      </c>
      <c r="B44" s="203" t="s">
        <v>101</v>
      </c>
      <c r="C44" s="204" t="s">
        <v>62</v>
      </c>
      <c r="D44" s="205">
        <v>1</v>
      </c>
      <c r="E44" s="144">
        <v>1</v>
      </c>
      <c r="F44" s="206">
        <v>12</v>
      </c>
      <c r="G44" s="145">
        <v>32378.403200000001</v>
      </c>
      <c r="H44" s="145">
        <v>29140.562887</v>
      </c>
      <c r="I44" s="89">
        <f t="shared" si="10"/>
        <v>3237.8403130000006</v>
      </c>
      <c r="J44" s="207">
        <v>14570.2814435</v>
      </c>
      <c r="K44" s="207">
        <v>14570.2814435</v>
      </c>
      <c r="L44" s="208">
        <f t="shared" si="11"/>
        <v>29140.562887</v>
      </c>
      <c r="M44" s="16">
        <f t="shared" si="12"/>
        <v>1</v>
      </c>
      <c r="N44" s="209">
        <v>37539.359999999986</v>
      </c>
    </row>
    <row r="45" spans="1:14" hidden="1" outlineLevel="1" x14ac:dyDescent="0.2">
      <c r="A45" s="202" t="s">
        <v>104</v>
      </c>
      <c r="B45" s="203" t="s">
        <v>101</v>
      </c>
      <c r="C45" s="204" t="s">
        <v>62</v>
      </c>
      <c r="D45" s="205">
        <v>1</v>
      </c>
      <c r="E45" s="144">
        <v>0.5</v>
      </c>
      <c r="F45" s="206">
        <v>12</v>
      </c>
      <c r="G45" s="145">
        <v>32378.403200000001</v>
      </c>
      <c r="H45" s="145">
        <v>0</v>
      </c>
      <c r="I45" s="89">
        <f t="shared" si="10"/>
        <v>32378.403200000001</v>
      </c>
      <c r="J45" s="207">
        <v>0</v>
      </c>
      <c r="K45" s="207">
        <v>0</v>
      </c>
      <c r="L45" s="208">
        <f t="shared" si="11"/>
        <v>0</v>
      </c>
      <c r="M45" s="16" t="str">
        <f t="shared" si="12"/>
        <v>N/A</v>
      </c>
      <c r="N45" s="209">
        <v>41826.49</v>
      </c>
    </row>
    <row r="46" spans="1:14" hidden="1" outlineLevel="1" x14ac:dyDescent="0.2">
      <c r="A46" s="202" t="s">
        <v>105</v>
      </c>
      <c r="B46" s="203" t="s">
        <v>101</v>
      </c>
      <c r="C46" s="204" t="s">
        <v>62</v>
      </c>
      <c r="D46" s="205">
        <v>1</v>
      </c>
      <c r="E46" s="144">
        <v>1</v>
      </c>
      <c r="F46" s="206">
        <v>12</v>
      </c>
      <c r="G46" s="145">
        <v>32378.403200000001</v>
      </c>
      <c r="H46" s="145">
        <v>32378.403200000001</v>
      </c>
      <c r="I46" s="89">
        <f t="shared" si="10"/>
        <v>0</v>
      </c>
      <c r="J46" s="207">
        <v>16189.2016</v>
      </c>
      <c r="K46" s="207">
        <v>16189.2016</v>
      </c>
      <c r="L46" s="208">
        <f t="shared" si="11"/>
        <v>32378.403200000001</v>
      </c>
      <c r="M46" s="16">
        <f t="shared" si="12"/>
        <v>1</v>
      </c>
      <c r="N46" s="209">
        <v>48097.319999999985</v>
      </c>
    </row>
    <row r="47" spans="1:14" hidden="1" outlineLevel="1" x14ac:dyDescent="0.2">
      <c r="A47" s="202" t="s">
        <v>106</v>
      </c>
      <c r="B47" s="203" t="s">
        <v>101</v>
      </c>
      <c r="C47" s="204" t="s">
        <v>62</v>
      </c>
      <c r="D47" s="205">
        <v>0.6</v>
      </c>
      <c r="E47" s="144">
        <v>1</v>
      </c>
      <c r="F47" s="206">
        <v>12</v>
      </c>
      <c r="G47" s="145">
        <v>19427.041919999996</v>
      </c>
      <c r="H47" s="145">
        <v>0</v>
      </c>
      <c r="I47" s="89">
        <f t="shared" si="10"/>
        <v>19427.041919999996</v>
      </c>
      <c r="J47" s="207">
        <v>0</v>
      </c>
      <c r="K47" s="207">
        <v>0</v>
      </c>
      <c r="L47" s="208">
        <f t="shared" si="11"/>
        <v>0</v>
      </c>
      <c r="M47" s="16" t="str">
        <f t="shared" si="12"/>
        <v>N/A</v>
      </c>
      <c r="N47" s="209">
        <v>502.58</v>
      </c>
    </row>
    <row r="48" spans="1:14" hidden="1" outlineLevel="1" x14ac:dyDescent="0.2">
      <c r="A48" s="202" t="s">
        <v>107</v>
      </c>
      <c r="B48" s="203" t="s">
        <v>101</v>
      </c>
      <c r="C48" s="204" t="s">
        <v>62</v>
      </c>
      <c r="D48" s="205">
        <v>1</v>
      </c>
      <c r="E48" s="144">
        <v>1</v>
      </c>
      <c r="F48" s="206">
        <v>12</v>
      </c>
      <c r="G48" s="145">
        <v>32378.403200000001</v>
      </c>
      <c r="H48" s="145">
        <v>0</v>
      </c>
      <c r="I48" s="89">
        <f t="shared" si="10"/>
        <v>32378.403200000001</v>
      </c>
      <c r="J48" s="207">
        <v>0</v>
      </c>
      <c r="K48" s="207">
        <v>0</v>
      </c>
      <c r="L48" s="208">
        <f t="shared" si="11"/>
        <v>0</v>
      </c>
      <c r="M48" s="16" t="str">
        <f t="shared" si="12"/>
        <v>N/A</v>
      </c>
      <c r="N48" s="209">
        <v>42337.23</v>
      </c>
    </row>
    <row r="49" spans="1:14" hidden="1" outlineLevel="1" x14ac:dyDescent="0.2">
      <c r="A49" s="202" t="s">
        <v>108</v>
      </c>
      <c r="B49" s="203" t="s">
        <v>101</v>
      </c>
      <c r="C49" s="204" t="s">
        <v>62</v>
      </c>
      <c r="D49" s="205">
        <v>1</v>
      </c>
      <c r="E49" s="144">
        <v>1</v>
      </c>
      <c r="F49" s="206">
        <v>12</v>
      </c>
      <c r="G49" s="145">
        <v>32378.403200000001</v>
      </c>
      <c r="H49" s="145">
        <v>0</v>
      </c>
      <c r="I49" s="89">
        <f t="shared" si="10"/>
        <v>32378.403200000001</v>
      </c>
      <c r="J49" s="207">
        <v>0</v>
      </c>
      <c r="K49" s="207">
        <v>0</v>
      </c>
      <c r="L49" s="208">
        <f t="shared" si="11"/>
        <v>0</v>
      </c>
      <c r="M49" s="16" t="str">
        <f t="shared" si="12"/>
        <v>N/A</v>
      </c>
      <c r="N49" s="209">
        <v>33907.61</v>
      </c>
    </row>
    <row r="50" spans="1:14" hidden="1" outlineLevel="1" x14ac:dyDescent="0.2">
      <c r="A50" s="202" t="s">
        <v>109</v>
      </c>
      <c r="B50" s="203" t="s">
        <v>101</v>
      </c>
      <c r="C50" s="204" t="s">
        <v>62</v>
      </c>
      <c r="D50" s="205">
        <v>1</v>
      </c>
      <c r="E50" s="144">
        <v>0.5</v>
      </c>
      <c r="F50" s="206">
        <v>12</v>
      </c>
      <c r="G50" s="145">
        <v>32378.403200000001</v>
      </c>
      <c r="H50" s="145">
        <v>16189.2016</v>
      </c>
      <c r="I50" s="89">
        <f t="shared" si="10"/>
        <v>16189.2016</v>
      </c>
      <c r="J50" s="207">
        <v>8094.6008000000002</v>
      </c>
      <c r="K50" s="207">
        <v>8094.6008000000002</v>
      </c>
      <c r="L50" s="208">
        <f t="shared" si="11"/>
        <v>16189.2016</v>
      </c>
      <c r="M50" s="16">
        <f t="shared" si="12"/>
        <v>1</v>
      </c>
      <c r="N50" s="209">
        <v>45833.53</v>
      </c>
    </row>
    <row r="51" spans="1:14" hidden="1" outlineLevel="1" x14ac:dyDescent="0.2">
      <c r="A51" s="202" t="s">
        <v>110</v>
      </c>
      <c r="B51" s="203" t="s">
        <v>101</v>
      </c>
      <c r="C51" s="204" t="s">
        <v>62</v>
      </c>
      <c r="D51" s="205">
        <v>0.4</v>
      </c>
      <c r="E51" s="144">
        <v>1</v>
      </c>
      <c r="F51" s="206">
        <v>12</v>
      </c>
      <c r="G51" s="145">
        <v>12951.361280000001</v>
      </c>
      <c r="H51" s="145">
        <v>0</v>
      </c>
      <c r="I51" s="89">
        <f t="shared" si="10"/>
        <v>12951.361280000001</v>
      </c>
      <c r="J51" s="207">
        <v>0</v>
      </c>
      <c r="K51" s="207">
        <v>0</v>
      </c>
      <c r="L51" s="208">
        <f t="shared" si="11"/>
        <v>0</v>
      </c>
      <c r="M51" s="16" t="str">
        <f t="shared" si="12"/>
        <v>N/A</v>
      </c>
      <c r="N51" s="209">
        <v>30733.629999999986</v>
      </c>
    </row>
    <row r="52" spans="1:14" hidden="1" outlineLevel="1" x14ac:dyDescent="0.2">
      <c r="A52" s="202" t="s">
        <v>111</v>
      </c>
      <c r="B52" s="203" t="s">
        <v>101</v>
      </c>
      <c r="C52" s="204" t="s">
        <v>62</v>
      </c>
      <c r="D52" s="205">
        <v>0.4</v>
      </c>
      <c r="E52" s="144">
        <v>1</v>
      </c>
      <c r="F52" s="206">
        <v>12</v>
      </c>
      <c r="G52" s="145">
        <v>12951.361280000001</v>
      </c>
      <c r="H52" s="145">
        <v>0</v>
      </c>
      <c r="I52" s="89">
        <f t="shared" si="10"/>
        <v>12951.361280000001</v>
      </c>
      <c r="J52" s="207">
        <v>0</v>
      </c>
      <c r="K52" s="207">
        <v>0</v>
      </c>
      <c r="L52" s="208">
        <f t="shared" si="11"/>
        <v>0</v>
      </c>
      <c r="M52" s="16" t="str">
        <f t="shared" si="12"/>
        <v>N/A</v>
      </c>
      <c r="N52" s="209">
        <v>218.32000000000002</v>
      </c>
    </row>
    <row r="53" spans="1:14" hidden="1" outlineLevel="1" x14ac:dyDescent="0.2">
      <c r="A53" s="202" t="s">
        <v>112</v>
      </c>
      <c r="B53" s="203" t="s">
        <v>101</v>
      </c>
      <c r="C53" s="204" t="s">
        <v>62</v>
      </c>
      <c r="D53" s="205">
        <v>0.4</v>
      </c>
      <c r="E53" s="144">
        <v>1</v>
      </c>
      <c r="F53" s="206">
        <v>12</v>
      </c>
      <c r="G53" s="145">
        <v>12951.361280000001</v>
      </c>
      <c r="H53" s="145">
        <v>0</v>
      </c>
      <c r="I53" s="89">
        <f t="shared" si="10"/>
        <v>12951.361280000001</v>
      </c>
      <c r="J53" s="207">
        <v>0</v>
      </c>
      <c r="K53" s="207">
        <v>0</v>
      </c>
      <c r="L53" s="208">
        <f t="shared" si="11"/>
        <v>0</v>
      </c>
      <c r="M53" s="16" t="str">
        <f t="shared" si="12"/>
        <v>N/A</v>
      </c>
      <c r="N53" s="209">
        <v>3459.1799999999994</v>
      </c>
    </row>
    <row r="54" spans="1:14" hidden="1" outlineLevel="1" x14ac:dyDescent="0.2">
      <c r="A54" s="202" t="s">
        <v>113</v>
      </c>
      <c r="B54" s="203" t="s">
        <v>101</v>
      </c>
      <c r="C54" s="204" t="s">
        <v>62</v>
      </c>
      <c r="D54" s="205">
        <v>0.4</v>
      </c>
      <c r="E54" s="144">
        <v>1</v>
      </c>
      <c r="F54" s="206">
        <v>0</v>
      </c>
      <c r="G54" s="145">
        <v>12951.361280000001</v>
      </c>
      <c r="H54" s="145">
        <v>0</v>
      </c>
      <c r="I54" s="89">
        <f t="shared" si="10"/>
        <v>12951.361280000001</v>
      </c>
      <c r="J54" s="207">
        <v>0</v>
      </c>
      <c r="K54" s="207">
        <v>0</v>
      </c>
      <c r="L54" s="208">
        <f t="shared" si="11"/>
        <v>0</v>
      </c>
      <c r="M54" s="16" t="str">
        <f t="shared" si="12"/>
        <v>N/A</v>
      </c>
      <c r="N54" s="209">
        <v>11272.729999999994</v>
      </c>
    </row>
    <row r="55" spans="1:14" hidden="1" outlineLevel="1" x14ac:dyDescent="0.2">
      <c r="A55" s="202" t="s">
        <v>114</v>
      </c>
      <c r="B55" s="203" t="s">
        <v>101</v>
      </c>
      <c r="C55" s="204" t="s">
        <v>62</v>
      </c>
      <c r="D55" s="205">
        <v>1</v>
      </c>
      <c r="E55" s="144">
        <v>1</v>
      </c>
      <c r="F55" s="206">
        <v>12</v>
      </c>
      <c r="G55" s="145">
        <v>32378.403200000001</v>
      </c>
      <c r="H55" s="145">
        <v>32378.403200000001</v>
      </c>
      <c r="I55" s="89">
        <f t="shared" si="10"/>
        <v>0</v>
      </c>
      <c r="J55" s="207">
        <v>16189.2016</v>
      </c>
      <c r="K55" s="207">
        <v>16189.2016</v>
      </c>
      <c r="L55" s="208">
        <f t="shared" si="11"/>
        <v>32378.403200000001</v>
      </c>
      <c r="M55" s="16">
        <f t="shared" si="12"/>
        <v>1</v>
      </c>
      <c r="N55" s="209">
        <v>57780.24</v>
      </c>
    </row>
    <row r="56" spans="1:14" hidden="1" outlineLevel="1" x14ac:dyDescent="0.2">
      <c r="A56" s="202" t="s">
        <v>115</v>
      </c>
      <c r="B56" s="203" t="s">
        <v>101</v>
      </c>
      <c r="C56" s="204" t="s">
        <v>62</v>
      </c>
      <c r="D56" s="315">
        <v>1</v>
      </c>
      <c r="E56" s="144">
        <v>1</v>
      </c>
      <c r="F56" s="206">
        <v>0</v>
      </c>
      <c r="G56" s="145">
        <v>32378.403200000001</v>
      </c>
      <c r="H56" s="145">
        <v>0</v>
      </c>
      <c r="I56" s="89">
        <f t="shared" si="10"/>
        <v>32378.403200000001</v>
      </c>
      <c r="J56" s="207">
        <v>0</v>
      </c>
      <c r="K56" s="207">
        <v>0</v>
      </c>
      <c r="L56" s="208">
        <f t="shared" si="11"/>
        <v>0</v>
      </c>
      <c r="M56" s="16" t="str">
        <f t="shared" si="12"/>
        <v>N/A</v>
      </c>
      <c r="N56" s="209">
        <v>0</v>
      </c>
    </row>
    <row r="57" spans="1:14" hidden="1" outlineLevel="1" x14ac:dyDescent="0.2">
      <c r="A57" s="202" t="s">
        <v>116</v>
      </c>
      <c r="B57" s="203" t="s">
        <v>101</v>
      </c>
      <c r="C57" s="210" t="s">
        <v>62</v>
      </c>
      <c r="D57" s="211">
        <v>0.4</v>
      </c>
      <c r="E57" s="144">
        <v>1</v>
      </c>
      <c r="F57" s="206">
        <v>12</v>
      </c>
      <c r="G57" s="145">
        <v>12951.361280000001</v>
      </c>
      <c r="H57" s="145">
        <v>0</v>
      </c>
      <c r="I57" s="89">
        <f t="shared" si="10"/>
        <v>12951.361280000001</v>
      </c>
      <c r="J57" s="207">
        <v>0</v>
      </c>
      <c r="K57" s="207">
        <v>0</v>
      </c>
      <c r="L57" s="208">
        <f t="shared" si="11"/>
        <v>0</v>
      </c>
      <c r="M57" s="16" t="str">
        <f t="shared" si="12"/>
        <v>N/A</v>
      </c>
      <c r="N57" s="209">
        <v>18977.109999999993</v>
      </c>
    </row>
    <row r="58" spans="1:14" collapsed="1" x14ac:dyDescent="0.2">
      <c r="A58" s="202"/>
      <c r="B58" s="203"/>
      <c r="C58" s="210" t="s">
        <v>62</v>
      </c>
      <c r="D58" s="211">
        <f>SUM(D27:D57)</f>
        <v>27.599999999999994</v>
      </c>
      <c r="E58" s="144"/>
      <c r="F58" s="206"/>
      <c r="G58" s="145">
        <f t="shared" ref="G58:L58" si="13">SUM(G27:G57)</f>
        <v>1073507.7605753604</v>
      </c>
      <c r="H58" s="145">
        <f t="shared" si="13"/>
        <v>158672.35280699999</v>
      </c>
      <c r="I58" s="89">
        <f t="shared" si="13"/>
        <v>914835.40776835999</v>
      </c>
      <c r="J58" s="207">
        <f t="shared" si="13"/>
        <v>79336.176403499994</v>
      </c>
      <c r="K58" s="207">
        <f t="shared" si="13"/>
        <v>79336.176403499994</v>
      </c>
      <c r="L58" s="208">
        <f t="shared" si="13"/>
        <v>158672.35280699999</v>
      </c>
      <c r="M58" s="16">
        <f t="shared" si="12"/>
        <v>1</v>
      </c>
      <c r="N58" s="209">
        <f>SUM(N27:N57)</f>
        <v>911626.75999999978</v>
      </c>
    </row>
    <row r="59" spans="1:14" hidden="1" outlineLevel="1" x14ac:dyDescent="0.2">
      <c r="A59" s="202" t="s">
        <v>96</v>
      </c>
      <c r="B59" s="203" t="s">
        <v>97</v>
      </c>
      <c r="C59" s="210" t="s">
        <v>59</v>
      </c>
      <c r="D59" s="316">
        <v>1</v>
      </c>
      <c r="E59" s="144">
        <v>0.5</v>
      </c>
      <c r="F59" s="206">
        <v>12</v>
      </c>
      <c r="G59" s="145">
        <v>31816.928</v>
      </c>
      <c r="H59" s="145">
        <v>0</v>
      </c>
      <c r="I59" s="89">
        <f>G59-H59</f>
        <v>31816.928</v>
      </c>
      <c r="J59" s="207">
        <v>0</v>
      </c>
      <c r="K59" s="207">
        <v>0</v>
      </c>
      <c r="L59" s="208">
        <f>SUM(J59:K59)</f>
        <v>0</v>
      </c>
      <c r="M59" s="16" t="str">
        <f t="shared" si="12"/>
        <v>N/A</v>
      </c>
      <c r="N59" s="209">
        <v>9421.340000000002</v>
      </c>
    </row>
    <row r="60" spans="1:14" collapsed="1" x14ac:dyDescent="0.2">
      <c r="A60" s="202"/>
      <c r="B60" s="203"/>
      <c r="C60" s="210" t="s">
        <v>59</v>
      </c>
      <c r="D60" s="316">
        <f>SUM(D59)</f>
        <v>1</v>
      </c>
      <c r="E60" s="317"/>
      <c r="F60" s="215"/>
      <c r="G60" s="145">
        <f t="shared" ref="G60:L60" si="14">SUM(G59)</f>
        <v>31816.928</v>
      </c>
      <c r="H60" s="145">
        <f t="shared" si="14"/>
        <v>0</v>
      </c>
      <c r="I60" s="89">
        <f t="shared" si="14"/>
        <v>31816.928</v>
      </c>
      <c r="J60" s="207">
        <f t="shared" si="14"/>
        <v>0</v>
      </c>
      <c r="K60" s="207">
        <f t="shared" si="14"/>
        <v>0</v>
      </c>
      <c r="L60" s="208">
        <f t="shared" si="14"/>
        <v>0</v>
      </c>
      <c r="M60" s="16" t="str">
        <f t="shared" si="12"/>
        <v>N/A</v>
      </c>
      <c r="N60" s="209">
        <f>SUM(N59)</f>
        <v>9421.340000000002</v>
      </c>
    </row>
    <row r="61" spans="1:14" x14ac:dyDescent="0.2">
      <c r="A61" s="212"/>
      <c r="B61" s="213"/>
      <c r="C61" s="210"/>
      <c r="D61" s="211"/>
      <c r="E61" s="214"/>
      <c r="F61" s="215"/>
      <c r="G61" s="145">
        <v>0</v>
      </c>
      <c r="H61" s="145">
        <v>0</v>
      </c>
      <c r="I61" s="89">
        <f t="shared" ref="I61:I62" si="15">G61-H61</f>
        <v>0</v>
      </c>
      <c r="J61" s="207">
        <v>0</v>
      </c>
      <c r="K61" s="207">
        <v>0</v>
      </c>
      <c r="L61" s="208">
        <f t="shared" ref="L61:L62" si="16">SUM(J61:K61)</f>
        <v>0</v>
      </c>
      <c r="M61" s="16" t="str">
        <f t="shared" ref="M61:M63" si="17">IFERROR(L61/H61,"N/A")</f>
        <v>N/A</v>
      </c>
      <c r="N61" s="209">
        <v>0</v>
      </c>
    </row>
    <row r="62" spans="1:14" x14ac:dyDescent="0.2">
      <c r="A62" s="212"/>
      <c r="B62" s="213"/>
      <c r="C62" s="210"/>
      <c r="D62" s="211"/>
      <c r="E62" s="214"/>
      <c r="F62" s="215"/>
      <c r="G62" s="145">
        <v>0</v>
      </c>
      <c r="H62" s="145">
        <v>0</v>
      </c>
      <c r="I62" s="89">
        <f t="shared" si="15"/>
        <v>0</v>
      </c>
      <c r="J62" s="207">
        <v>0</v>
      </c>
      <c r="K62" s="207">
        <v>0</v>
      </c>
      <c r="L62" s="208">
        <f t="shared" si="16"/>
        <v>0</v>
      </c>
      <c r="M62" s="16" t="str">
        <f t="shared" si="17"/>
        <v>N/A</v>
      </c>
      <c r="N62" s="209">
        <v>0</v>
      </c>
    </row>
    <row r="63" spans="1:14" ht="13.5" thickBot="1" x14ac:dyDescent="0.25">
      <c r="A63" s="216"/>
      <c r="B63" s="217"/>
      <c r="C63" s="218" t="s">
        <v>117</v>
      </c>
      <c r="D63" s="318">
        <f>SUM(D60,D58)</f>
        <v>28.599999999999994</v>
      </c>
      <c r="E63" s="219"/>
      <c r="F63" s="220"/>
      <c r="G63" s="83">
        <f t="shared" ref="G63:L63" si="18">SUM(G60,G58)</f>
        <v>1105324.6885753605</v>
      </c>
      <c r="H63" s="83">
        <f t="shared" si="18"/>
        <v>158672.35280699999</v>
      </c>
      <c r="I63" s="83">
        <f t="shared" si="18"/>
        <v>946652.33576835995</v>
      </c>
      <c r="J63" s="83">
        <f t="shared" si="18"/>
        <v>79336.176403499994</v>
      </c>
      <c r="K63" s="83">
        <f t="shared" si="18"/>
        <v>79336.176403499994</v>
      </c>
      <c r="L63" s="83">
        <f t="shared" si="18"/>
        <v>158672.35280699999</v>
      </c>
      <c r="M63" s="67">
        <f t="shared" si="17"/>
        <v>1</v>
      </c>
      <c r="N63" s="84">
        <f>SUM(N60,N58)</f>
        <v>921048.09999999974</v>
      </c>
    </row>
    <row r="64" spans="1:14" ht="13.5" thickBot="1" x14ac:dyDescent="0.25"/>
    <row r="65" spans="1:14" x14ac:dyDescent="0.2">
      <c r="A65" s="221" t="s">
        <v>118</v>
      </c>
      <c r="B65" s="222"/>
      <c r="C65" s="222"/>
      <c r="D65" s="222"/>
      <c r="E65" s="222"/>
      <c r="F65" s="223"/>
      <c r="G65" s="224"/>
      <c r="H65" s="224"/>
      <c r="I65" s="224"/>
      <c r="J65" s="224"/>
      <c r="K65" s="224"/>
      <c r="L65" s="224"/>
      <c r="M65" s="4"/>
      <c r="N65" s="3"/>
    </row>
    <row r="66" spans="1:14" s="198" customFormat="1" ht="11.25" x14ac:dyDescent="0.2">
      <c r="A66" s="225" t="s">
        <v>119</v>
      </c>
      <c r="B66" s="195"/>
      <c r="C66" s="195"/>
      <c r="D66" s="195"/>
      <c r="E66" s="195"/>
      <c r="F66" s="196"/>
      <c r="G66" s="197"/>
      <c r="H66" s="197"/>
      <c r="I66" s="197"/>
      <c r="J66" s="197"/>
      <c r="K66" s="197"/>
      <c r="L66" s="197"/>
      <c r="M66" s="6"/>
      <c r="N66" s="5"/>
    </row>
    <row r="67" spans="1:14" ht="33.75" x14ac:dyDescent="0.2">
      <c r="A67" s="226" t="s">
        <v>120</v>
      </c>
      <c r="B67" s="227"/>
      <c r="C67" s="228"/>
      <c r="D67" s="228"/>
      <c r="E67" s="228"/>
      <c r="F67" s="228"/>
      <c r="G67" s="201" t="s">
        <v>39</v>
      </c>
      <c r="H67" s="201" t="s">
        <v>40</v>
      </c>
      <c r="I67" s="201" t="s">
        <v>41</v>
      </c>
      <c r="J67" s="201" t="s">
        <v>42</v>
      </c>
      <c r="K67" s="201" t="s">
        <v>43</v>
      </c>
      <c r="L67" s="201" t="s">
        <v>44</v>
      </c>
      <c r="M67" s="23" t="s">
        <v>45</v>
      </c>
      <c r="N67" s="24" t="s">
        <v>46</v>
      </c>
    </row>
    <row r="68" spans="1:14" x14ac:dyDescent="0.2">
      <c r="A68" s="229" t="s">
        <v>121</v>
      </c>
      <c r="B68" s="230" t="s">
        <v>122</v>
      </c>
      <c r="C68" s="146">
        <f>H68/$H$63</f>
        <v>2.4299999998927981E-2</v>
      </c>
      <c r="D68" s="231"/>
      <c r="E68" s="232"/>
      <c r="F68" s="233"/>
      <c r="G68" s="147">
        <v>33640.959173673953</v>
      </c>
      <c r="H68" s="147">
        <v>3855.7381730399998</v>
      </c>
      <c r="I68" s="85">
        <f t="shared" ref="I68" si="19">G68-H68</f>
        <v>29785.221000633952</v>
      </c>
      <c r="J68" s="207">
        <v>2227.8690865199997</v>
      </c>
      <c r="K68" s="207">
        <v>1627.8690865200001</v>
      </c>
      <c r="L68" s="85">
        <f>SUM(J68:K68)</f>
        <v>3855.7381730399998</v>
      </c>
      <c r="M68" s="16">
        <f>IFERROR(L68/H68,"N/A")</f>
        <v>1</v>
      </c>
      <c r="N68" s="234">
        <v>56778.019999999982</v>
      </c>
    </row>
    <row r="69" spans="1:14" x14ac:dyDescent="0.2">
      <c r="A69" s="235" t="s">
        <v>123</v>
      </c>
      <c r="B69" s="230" t="s">
        <v>124</v>
      </c>
      <c r="C69" s="146">
        <f t="shared" ref="C69:C71" si="20">H69/$H$63</f>
        <v>8.2999999996338381E-3</v>
      </c>
      <c r="D69" s="231"/>
      <c r="E69" s="232"/>
      <c r="F69" s="233"/>
      <c r="G69" s="147">
        <v>9186</v>
      </c>
      <c r="H69" s="147">
        <v>1316.98052824</v>
      </c>
      <c r="I69" s="89">
        <f t="shared" ref="I69:I73" si="21">G69-H69</f>
        <v>7869.0194717599998</v>
      </c>
      <c r="J69" s="207">
        <v>87.11</v>
      </c>
      <c r="K69" s="207">
        <v>0</v>
      </c>
      <c r="L69" s="89">
        <f t="shared" ref="L69:L73" si="22">SUM(J69:K69)</f>
        <v>87.11</v>
      </c>
      <c r="M69" s="15">
        <f t="shared" ref="M69:M73" si="23">IFERROR(L69/H69,"N/A")</f>
        <v>6.6143726601951322E-2</v>
      </c>
      <c r="N69" s="234">
        <v>2016.7399999999998</v>
      </c>
    </row>
    <row r="70" spans="1:14" ht="38.25" x14ac:dyDescent="0.2">
      <c r="A70" s="235" t="s">
        <v>125</v>
      </c>
      <c r="B70" s="236" t="s">
        <v>126</v>
      </c>
      <c r="C70" s="146">
        <f t="shared" si="20"/>
        <v>0.1215999999946355</v>
      </c>
      <c r="D70" s="231"/>
      <c r="E70" s="232"/>
      <c r="F70" s="233"/>
      <c r="G70" s="147">
        <v>130394.05119360001</v>
      </c>
      <c r="H70" s="147">
        <v>19294.558100480001</v>
      </c>
      <c r="I70" s="89">
        <f t="shared" si="21"/>
        <v>111099.49309312001</v>
      </c>
      <c r="J70" s="207">
        <v>9919.2790502400003</v>
      </c>
      <c r="K70" s="207">
        <v>10605.27905024</v>
      </c>
      <c r="L70" s="89">
        <f t="shared" si="22"/>
        <v>20524.558100480001</v>
      </c>
      <c r="M70" s="15">
        <f t="shared" si="23"/>
        <v>1.06374854472409</v>
      </c>
      <c r="N70" s="234">
        <v>136570.84000000003</v>
      </c>
    </row>
    <row r="71" spans="1:14" x14ac:dyDescent="0.2">
      <c r="A71" s="235" t="s">
        <v>127</v>
      </c>
      <c r="B71" s="230" t="s">
        <v>128</v>
      </c>
      <c r="C71" s="146">
        <f t="shared" si="20"/>
        <v>7.6499999996625115E-2</v>
      </c>
      <c r="D71" s="231"/>
      <c r="E71" s="232"/>
      <c r="F71" s="233"/>
      <c r="G71" s="147">
        <v>84557.338676015046</v>
      </c>
      <c r="H71" s="147">
        <v>12138.434989199999</v>
      </c>
      <c r="I71" s="89">
        <f t="shared" si="21"/>
        <v>72418.903686815043</v>
      </c>
      <c r="J71" s="207">
        <v>6069.2174945999996</v>
      </c>
      <c r="K71" s="207">
        <v>6069.2174945999996</v>
      </c>
      <c r="L71" s="89">
        <f t="shared" si="22"/>
        <v>12138.434989199999</v>
      </c>
      <c r="M71" s="15">
        <f t="shared" si="23"/>
        <v>1</v>
      </c>
      <c r="N71" s="234">
        <v>106361.48999999999</v>
      </c>
    </row>
    <row r="72" spans="1:14" x14ac:dyDescent="0.2">
      <c r="A72" s="235"/>
      <c r="B72" s="230"/>
      <c r="C72" s="148"/>
      <c r="D72" s="231"/>
      <c r="E72" s="232"/>
      <c r="F72" s="233"/>
      <c r="G72" s="147">
        <v>0</v>
      </c>
      <c r="H72" s="147">
        <v>0</v>
      </c>
      <c r="I72" s="89">
        <f t="shared" si="21"/>
        <v>0</v>
      </c>
      <c r="J72" s="207">
        <v>0</v>
      </c>
      <c r="K72" s="237">
        <v>0</v>
      </c>
      <c r="L72" s="89">
        <f t="shared" si="22"/>
        <v>0</v>
      </c>
      <c r="M72" s="15" t="str">
        <f t="shared" si="23"/>
        <v>N/A</v>
      </c>
      <c r="N72" s="234">
        <v>0</v>
      </c>
    </row>
    <row r="73" spans="1:14" x14ac:dyDescent="0.2">
      <c r="A73" s="235"/>
      <c r="B73" s="230"/>
      <c r="C73" s="148"/>
      <c r="D73" s="231"/>
      <c r="E73" s="232"/>
      <c r="F73" s="233"/>
      <c r="G73" s="147">
        <v>0</v>
      </c>
      <c r="H73" s="147">
        <v>0</v>
      </c>
      <c r="I73" s="89">
        <f t="shared" si="21"/>
        <v>0</v>
      </c>
      <c r="J73" s="207">
        <v>0</v>
      </c>
      <c r="K73" s="237">
        <v>0</v>
      </c>
      <c r="L73" s="89">
        <f t="shared" si="22"/>
        <v>0</v>
      </c>
      <c r="M73" s="15" t="str">
        <f t="shared" si="23"/>
        <v>N/A</v>
      </c>
      <c r="N73" s="234">
        <v>0</v>
      </c>
    </row>
    <row r="74" spans="1:14" ht="13.5" thickBot="1" x14ac:dyDescent="0.25">
      <c r="A74" s="189"/>
      <c r="B74" s="186"/>
      <c r="C74" s="238" t="s">
        <v>129</v>
      </c>
      <c r="D74" s="239"/>
      <c r="E74" s="239"/>
      <c r="F74" s="240"/>
      <c r="G74" s="90">
        <f t="shared" ref="G74:L74" si="24">SUM(G68:G73)</f>
        <v>257778.34904328902</v>
      </c>
      <c r="H74" s="90">
        <f t="shared" si="24"/>
        <v>36605.711790959998</v>
      </c>
      <c r="I74" s="90">
        <f t="shared" si="24"/>
        <v>221172.63725232903</v>
      </c>
      <c r="J74" s="90">
        <f t="shared" si="24"/>
        <v>18303.475631360001</v>
      </c>
      <c r="K74" s="90">
        <f t="shared" si="24"/>
        <v>18302.36563136</v>
      </c>
      <c r="L74" s="90">
        <f t="shared" si="24"/>
        <v>36605.841262720001</v>
      </c>
      <c r="M74" s="25">
        <f>IFERROR(L74/H74,"N/A")</f>
        <v>1.0000035369278091</v>
      </c>
      <c r="N74" s="91">
        <f>SUM(N68:N73)</f>
        <v>301727.08999999997</v>
      </c>
    </row>
    <row r="75" spans="1:14" ht="13.5" thickBot="1" x14ac:dyDescent="0.25"/>
    <row r="76" spans="1:14" s="198" customFormat="1" x14ac:dyDescent="0.2">
      <c r="A76" s="221" t="s">
        <v>130</v>
      </c>
      <c r="B76" s="222"/>
      <c r="C76" s="222"/>
      <c r="D76" s="222"/>
      <c r="E76" s="222"/>
      <c r="F76" s="223"/>
      <c r="G76" s="224"/>
      <c r="H76" s="224"/>
      <c r="I76" s="224"/>
      <c r="J76" s="224"/>
      <c r="K76" s="224"/>
      <c r="L76" s="224"/>
      <c r="M76" s="4"/>
      <c r="N76" s="3"/>
    </row>
    <row r="77" spans="1:14" s="198" customFormat="1" ht="11.25" x14ac:dyDescent="0.2">
      <c r="A77" s="225" t="s">
        <v>131</v>
      </c>
      <c r="B77" s="195"/>
      <c r="C77" s="195"/>
      <c r="D77" s="195"/>
      <c r="E77" s="195"/>
      <c r="F77" s="196"/>
      <c r="G77" s="197"/>
      <c r="H77" s="197"/>
      <c r="I77" s="197"/>
      <c r="J77" s="197"/>
      <c r="K77" s="197"/>
      <c r="L77" s="197"/>
      <c r="M77" s="6"/>
      <c r="N77" s="5"/>
    </row>
    <row r="78" spans="1:14" ht="33.75" x14ac:dyDescent="0.2">
      <c r="A78" s="226" t="s">
        <v>120</v>
      </c>
      <c r="B78" s="227"/>
      <c r="C78" s="228"/>
      <c r="D78" s="228"/>
      <c r="E78" s="228"/>
      <c r="F78" s="228"/>
      <c r="G78" s="201" t="s">
        <v>39</v>
      </c>
      <c r="H78" s="201" t="s">
        <v>40</v>
      </c>
      <c r="I78" s="201" t="s">
        <v>41</v>
      </c>
      <c r="J78" s="201" t="s">
        <v>42</v>
      </c>
      <c r="K78" s="201" t="s">
        <v>43</v>
      </c>
      <c r="L78" s="201" t="s">
        <v>44</v>
      </c>
      <c r="M78" s="23" t="s">
        <v>45</v>
      </c>
      <c r="N78" s="24" t="s">
        <v>46</v>
      </c>
    </row>
    <row r="79" spans="1:14" ht="25.5" x14ac:dyDescent="0.2">
      <c r="A79" s="229" t="s">
        <v>132</v>
      </c>
      <c r="B79" s="236" t="s">
        <v>133</v>
      </c>
      <c r="C79" s="149">
        <f>H79/12</f>
        <v>0</v>
      </c>
      <c r="D79" s="241"/>
      <c r="E79" s="242"/>
      <c r="F79" s="233"/>
      <c r="G79" s="147">
        <v>73.584999999999994</v>
      </c>
      <c r="H79" s="147">
        <v>0</v>
      </c>
      <c r="I79" s="85">
        <f>G79-H79</f>
        <v>73.584999999999994</v>
      </c>
      <c r="J79" s="207">
        <v>0</v>
      </c>
      <c r="K79" s="207">
        <v>0</v>
      </c>
      <c r="L79" s="85">
        <f>SUM(J79:K79)</f>
        <v>0</v>
      </c>
      <c r="M79" s="16" t="str">
        <f>IFERROR(L79/H79,"N/A")</f>
        <v>N/A</v>
      </c>
      <c r="N79" s="234">
        <v>19019.57</v>
      </c>
    </row>
    <row r="80" spans="1:14" x14ac:dyDescent="0.2">
      <c r="A80" s="235"/>
      <c r="B80" s="230"/>
      <c r="C80" s="146"/>
      <c r="D80" s="241"/>
      <c r="E80" s="242"/>
      <c r="F80" s="233"/>
      <c r="G80" s="147">
        <v>0</v>
      </c>
      <c r="H80" s="147">
        <v>0</v>
      </c>
      <c r="I80" s="89">
        <f t="shared" ref="I80:I81" si="25">G80-H80</f>
        <v>0</v>
      </c>
      <c r="J80" s="207">
        <v>0</v>
      </c>
      <c r="K80" s="237">
        <v>0</v>
      </c>
      <c r="L80" s="89">
        <f t="shared" ref="L80:L81" si="26">SUM(J80:K80)</f>
        <v>0</v>
      </c>
      <c r="M80" s="15" t="str">
        <f t="shared" ref="M80:M81" si="27">IFERROR(L80/H80,"N/A")</f>
        <v>N/A</v>
      </c>
      <c r="N80" s="234">
        <v>0</v>
      </c>
    </row>
    <row r="81" spans="1:14" x14ac:dyDescent="0.2">
      <c r="A81" s="235"/>
      <c r="B81" s="236"/>
      <c r="C81" s="146"/>
      <c r="D81" s="241"/>
      <c r="E81" s="242"/>
      <c r="F81" s="233"/>
      <c r="G81" s="147">
        <v>0</v>
      </c>
      <c r="H81" s="147">
        <v>0</v>
      </c>
      <c r="I81" s="92">
        <f t="shared" si="25"/>
        <v>0</v>
      </c>
      <c r="J81" s="243">
        <v>0</v>
      </c>
      <c r="K81" s="243">
        <v>0</v>
      </c>
      <c r="L81" s="89">
        <f t="shared" si="26"/>
        <v>0</v>
      </c>
      <c r="M81" s="15" t="str">
        <f t="shared" si="27"/>
        <v>N/A</v>
      </c>
      <c r="N81" s="234">
        <v>0</v>
      </c>
    </row>
    <row r="82" spans="1:14" ht="13.5" thickBot="1" x14ac:dyDescent="0.25">
      <c r="A82" s="189"/>
      <c r="B82" s="186"/>
      <c r="C82" s="238" t="s">
        <v>134</v>
      </c>
      <c r="D82" s="239"/>
      <c r="E82" s="239"/>
      <c r="F82" s="240"/>
      <c r="G82" s="90">
        <f t="shared" ref="G82:L82" si="28">SUM(G79:G81)</f>
        <v>73.584999999999994</v>
      </c>
      <c r="H82" s="90">
        <f t="shared" si="28"/>
        <v>0</v>
      </c>
      <c r="I82" s="90">
        <f t="shared" si="28"/>
        <v>73.584999999999994</v>
      </c>
      <c r="J82" s="90">
        <f t="shared" si="28"/>
        <v>0</v>
      </c>
      <c r="K82" s="90">
        <f t="shared" si="28"/>
        <v>0</v>
      </c>
      <c r="L82" s="90">
        <f t="shared" si="28"/>
        <v>0</v>
      </c>
      <c r="M82" s="25" t="str">
        <f>IFERROR(L82/H82,"N/A")</f>
        <v>N/A</v>
      </c>
      <c r="N82" s="91">
        <f>SUM(N79:N81)</f>
        <v>19019.57</v>
      </c>
    </row>
    <row r="83" spans="1:14" ht="13.5" thickBot="1" x14ac:dyDescent="0.25"/>
    <row r="84" spans="1:14" s="198" customFormat="1" x14ac:dyDescent="0.2">
      <c r="A84" s="244" t="s">
        <v>135</v>
      </c>
      <c r="B84" s="222"/>
      <c r="C84" s="222"/>
      <c r="D84" s="222"/>
      <c r="E84" s="222"/>
      <c r="F84" s="223"/>
      <c r="G84" s="224"/>
      <c r="H84" s="224"/>
      <c r="I84" s="224"/>
      <c r="J84" s="224"/>
      <c r="K84" s="224"/>
      <c r="L84" s="224"/>
      <c r="M84" s="4"/>
      <c r="N84" s="3"/>
    </row>
    <row r="85" spans="1:14" x14ac:dyDescent="0.2">
      <c r="A85" s="225" t="s">
        <v>136</v>
      </c>
      <c r="B85" s="195"/>
      <c r="C85" s="195"/>
      <c r="D85" s="195"/>
      <c r="E85" s="195"/>
      <c r="F85" s="196"/>
      <c r="G85" s="197"/>
      <c r="H85" s="197"/>
      <c r="I85" s="197"/>
      <c r="J85" s="197"/>
      <c r="K85" s="197"/>
      <c r="L85" s="197"/>
      <c r="M85" s="6"/>
      <c r="N85" s="5"/>
    </row>
    <row r="86" spans="1:14" ht="33.75" x14ac:dyDescent="0.2">
      <c r="A86" s="226" t="s">
        <v>120</v>
      </c>
      <c r="B86" s="227"/>
      <c r="C86" s="228"/>
      <c r="D86" s="228"/>
      <c r="E86" s="228"/>
      <c r="F86" s="228"/>
      <c r="G86" s="201" t="s">
        <v>39</v>
      </c>
      <c r="H86" s="201" t="s">
        <v>40</v>
      </c>
      <c r="I86" s="201" t="s">
        <v>41</v>
      </c>
      <c r="J86" s="201" t="s">
        <v>42</v>
      </c>
      <c r="K86" s="201" t="s">
        <v>43</v>
      </c>
      <c r="L86" s="201" t="s">
        <v>44</v>
      </c>
      <c r="M86" s="23" t="s">
        <v>45</v>
      </c>
      <c r="N86" s="24" t="s">
        <v>46</v>
      </c>
    </row>
    <row r="87" spans="1:14" ht="25.5" x14ac:dyDescent="0.2">
      <c r="A87" s="245" t="s">
        <v>137</v>
      </c>
      <c r="B87" s="246" t="s">
        <v>138</v>
      </c>
      <c r="C87" s="149">
        <f>H87/12</f>
        <v>1166.81375</v>
      </c>
      <c r="D87" s="241"/>
      <c r="E87" s="242"/>
      <c r="F87" s="233"/>
      <c r="G87" s="147">
        <v>56281.204999999994</v>
      </c>
      <c r="H87" s="147">
        <v>14001.765000000001</v>
      </c>
      <c r="I87" s="85">
        <f t="shared" ref="I87:I105" si="29">G87-H87</f>
        <v>42279.439999999995</v>
      </c>
      <c r="J87" s="207">
        <v>3747.6400000000003</v>
      </c>
      <c r="K87" s="207">
        <v>8084.6799999999976</v>
      </c>
      <c r="L87" s="85">
        <f>SUM(J87:K87)</f>
        <v>11832.319999999998</v>
      </c>
      <c r="M87" s="16">
        <f>IFERROR(L87/H87,"N/A")</f>
        <v>0.84505917646810935</v>
      </c>
      <c r="N87" s="234">
        <v>52097.160000000105</v>
      </c>
    </row>
    <row r="88" spans="1:14" ht="38.25" x14ac:dyDescent="0.2">
      <c r="A88" s="245" t="s">
        <v>139</v>
      </c>
      <c r="B88" s="246" t="s">
        <v>140</v>
      </c>
      <c r="C88" s="149">
        <f t="shared" ref="C88:C102" si="30">H88/12</f>
        <v>0</v>
      </c>
      <c r="D88" s="241"/>
      <c r="E88" s="242"/>
      <c r="F88" s="233"/>
      <c r="G88" s="147">
        <v>188.40999999999997</v>
      </c>
      <c r="H88" s="147">
        <v>0</v>
      </c>
      <c r="I88" s="89">
        <f t="shared" si="29"/>
        <v>188.40999999999997</v>
      </c>
      <c r="J88" s="207">
        <v>0</v>
      </c>
      <c r="K88" s="207">
        <v>0</v>
      </c>
      <c r="L88" s="89">
        <f>SUM(J88:K88)</f>
        <v>0</v>
      </c>
      <c r="M88" s="15" t="str">
        <f>IFERROR(L88/H88,"N/A")</f>
        <v>N/A</v>
      </c>
      <c r="N88" s="234">
        <v>7896.5999999999995</v>
      </c>
    </row>
    <row r="89" spans="1:14" ht="25.5" x14ac:dyDescent="0.2">
      <c r="A89" s="245" t="s">
        <v>141</v>
      </c>
      <c r="B89" s="246" t="s">
        <v>142</v>
      </c>
      <c r="C89" s="149">
        <f t="shared" si="30"/>
        <v>127.06625000000001</v>
      </c>
      <c r="D89" s="241"/>
      <c r="E89" s="242"/>
      <c r="F89" s="233"/>
      <c r="G89" s="147">
        <v>11394.11</v>
      </c>
      <c r="H89" s="147">
        <v>1524.7950000000001</v>
      </c>
      <c r="I89" s="85">
        <f t="shared" si="29"/>
        <v>9869.3150000000005</v>
      </c>
      <c r="J89" s="207">
        <v>1211.1399999999999</v>
      </c>
      <c r="K89" s="207">
        <v>313.6550000000002</v>
      </c>
      <c r="L89" s="85">
        <f t="shared" ref="L89:L105" si="31">SUM(J89:K89)</f>
        <v>1524.7950000000001</v>
      </c>
      <c r="M89" s="16">
        <f t="shared" ref="M89:M105" si="32">IFERROR(L89/H89,"N/A")</f>
        <v>1</v>
      </c>
      <c r="N89" s="234">
        <v>16069.170000000007</v>
      </c>
    </row>
    <row r="90" spans="1:14" x14ac:dyDescent="0.2">
      <c r="A90" s="245" t="s">
        <v>143</v>
      </c>
      <c r="B90" s="246"/>
      <c r="C90" s="149"/>
      <c r="D90" s="241"/>
      <c r="E90" s="242"/>
      <c r="F90" s="233"/>
      <c r="G90" s="147">
        <v>0</v>
      </c>
      <c r="H90" s="147">
        <v>0</v>
      </c>
      <c r="I90" s="85">
        <f t="shared" ref="I90:I96" si="33">G90-H90</f>
        <v>0</v>
      </c>
      <c r="J90" s="207">
        <v>0</v>
      </c>
      <c r="K90" s="207">
        <v>0</v>
      </c>
      <c r="L90" s="85">
        <f t="shared" ref="L90:L96" si="34">SUM(J90:K90)</f>
        <v>0</v>
      </c>
      <c r="M90" s="16" t="str">
        <f t="shared" ref="M90:M96" si="35">IFERROR(L90/H90,"N/A")</f>
        <v>N/A</v>
      </c>
      <c r="N90" s="234">
        <v>0</v>
      </c>
    </row>
    <row r="91" spans="1:14" ht="51" x14ac:dyDescent="0.2">
      <c r="A91" s="245" t="s">
        <v>144</v>
      </c>
      <c r="B91" s="246" t="s">
        <v>145</v>
      </c>
      <c r="C91" s="149">
        <f t="shared" si="30"/>
        <v>10.416666666666666</v>
      </c>
      <c r="D91" s="241"/>
      <c r="E91" s="242"/>
      <c r="F91" s="233"/>
      <c r="G91" s="147">
        <v>663.73500000000013</v>
      </c>
      <c r="H91" s="147">
        <v>125</v>
      </c>
      <c r="I91" s="85">
        <f t="shared" si="33"/>
        <v>538.73500000000013</v>
      </c>
      <c r="J91" s="207">
        <v>62.5</v>
      </c>
      <c r="K91" s="207">
        <v>62.5</v>
      </c>
      <c r="L91" s="85">
        <f t="shared" si="34"/>
        <v>125</v>
      </c>
      <c r="M91" s="16">
        <f t="shared" si="35"/>
        <v>1</v>
      </c>
      <c r="N91" s="234">
        <v>2422.98</v>
      </c>
    </row>
    <row r="92" spans="1:14" ht="25.5" x14ac:dyDescent="0.2">
      <c r="A92" s="245" t="s">
        <v>146</v>
      </c>
      <c r="B92" s="246" t="s">
        <v>133</v>
      </c>
      <c r="C92" s="149">
        <f t="shared" si="30"/>
        <v>407.31833333333333</v>
      </c>
      <c r="D92" s="241"/>
      <c r="E92" s="242"/>
      <c r="F92" s="233"/>
      <c r="G92" s="147">
        <v>17378.864999999998</v>
      </c>
      <c r="H92" s="147">
        <v>4887.82</v>
      </c>
      <c r="I92" s="92">
        <f t="shared" si="33"/>
        <v>12491.044999999998</v>
      </c>
      <c r="J92" s="207">
        <v>1747.39</v>
      </c>
      <c r="K92" s="207">
        <v>2826.0099999999993</v>
      </c>
      <c r="L92" s="89">
        <f t="shared" si="34"/>
        <v>4573.3999999999996</v>
      </c>
      <c r="M92" s="15">
        <f t="shared" si="35"/>
        <v>0.93567275390664961</v>
      </c>
      <c r="N92" s="234">
        <v>24425.229999999996</v>
      </c>
    </row>
    <row r="93" spans="1:14" ht="25.5" x14ac:dyDescent="0.2">
      <c r="A93" s="245" t="s">
        <v>147</v>
      </c>
      <c r="B93" s="246" t="s">
        <v>133</v>
      </c>
      <c r="C93" s="149">
        <f t="shared" si="30"/>
        <v>133.74374999999998</v>
      </c>
      <c r="D93" s="241"/>
      <c r="E93" s="242"/>
      <c r="F93" s="233"/>
      <c r="G93" s="147">
        <v>7199.2799999999988</v>
      </c>
      <c r="H93" s="147">
        <v>1604.9249999999997</v>
      </c>
      <c r="I93" s="92">
        <f t="shared" si="33"/>
        <v>5594.3549999999996</v>
      </c>
      <c r="J93" s="207">
        <v>1335.8000000000004</v>
      </c>
      <c r="K93" s="207">
        <v>2686.1249999999991</v>
      </c>
      <c r="L93" s="89">
        <f t="shared" si="34"/>
        <v>4021.9249999999993</v>
      </c>
      <c r="M93" s="15">
        <f t="shared" si="35"/>
        <v>2.5059893764506129</v>
      </c>
      <c r="N93" s="234">
        <v>25923.380000000008</v>
      </c>
    </row>
    <row r="94" spans="1:14" ht="25.5" x14ac:dyDescent="0.2">
      <c r="A94" s="245" t="s">
        <v>148</v>
      </c>
      <c r="B94" s="246" t="s">
        <v>133</v>
      </c>
      <c r="C94" s="149"/>
      <c r="D94" s="241"/>
      <c r="E94" s="242"/>
      <c r="F94" s="233"/>
      <c r="G94" s="147">
        <v>0</v>
      </c>
      <c r="H94" s="147">
        <v>0</v>
      </c>
      <c r="I94" s="92">
        <f t="shared" si="33"/>
        <v>0</v>
      </c>
      <c r="J94" s="207">
        <v>0</v>
      </c>
      <c r="K94" s="207">
        <v>0</v>
      </c>
      <c r="L94" s="89">
        <f t="shared" si="34"/>
        <v>0</v>
      </c>
      <c r="M94" s="15" t="str">
        <f t="shared" si="35"/>
        <v>N/A</v>
      </c>
      <c r="N94" s="234">
        <v>6581.43</v>
      </c>
    </row>
    <row r="95" spans="1:14" ht="25.5" x14ac:dyDescent="0.2">
      <c r="A95" s="245" t="s">
        <v>149</v>
      </c>
      <c r="B95" s="246" t="s">
        <v>133</v>
      </c>
      <c r="C95" s="149">
        <f t="shared" si="30"/>
        <v>0</v>
      </c>
      <c r="D95" s="241"/>
      <c r="E95" s="242"/>
      <c r="F95" s="233"/>
      <c r="G95" s="147">
        <v>0</v>
      </c>
      <c r="H95" s="147">
        <v>0</v>
      </c>
      <c r="I95" s="92">
        <f t="shared" si="33"/>
        <v>0</v>
      </c>
      <c r="J95" s="207">
        <v>0</v>
      </c>
      <c r="K95" s="207">
        <v>0</v>
      </c>
      <c r="L95" s="89">
        <f t="shared" si="34"/>
        <v>0</v>
      </c>
      <c r="M95" s="15" t="str">
        <f t="shared" si="35"/>
        <v>N/A</v>
      </c>
      <c r="N95" s="234">
        <v>0</v>
      </c>
    </row>
    <row r="96" spans="1:14" ht="25.5" x14ac:dyDescent="0.2">
      <c r="A96" s="245" t="s">
        <v>150</v>
      </c>
      <c r="B96" s="246" t="s">
        <v>133</v>
      </c>
      <c r="C96" s="149">
        <f t="shared" si="30"/>
        <v>8178.5391250000002</v>
      </c>
      <c r="D96" s="241"/>
      <c r="E96" s="242"/>
      <c r="F96" s="233"/>
      <c r="G96" s="147">
        <v>206091.81500000003</v>
      </c>
      <c r="H96" s="147">
        <v>98142.469500000007</v>
      </c>
      <c r="I96" s="92">
        <f t="shared" si="33"/>
        <v>107949.34550000002</v>
      </c>
      <c r="J96" s="207">
        <v>54444.234750000003</v>
      </c>
      <c r="K96" s="207">
        <v>49341.234750000003</v>
      </c>
      <c r="L96" s="89">
        <f t="shared" si="34"/>
        <v>103785.46950000001</v>
      </c>
      <c r="M96" s="15">
        <f t="shared" si="35"/>
        <v>1.057498043698605</v>
      </c>
      <c r="N96" s="234">
        <v>263841.7300000001</v>
      </c>
    </row>
    <row r="97" spans="1:14" ht="25.5" x14ac:dyDescent="0.2">
      <c r="A97" s="245" t="s">
        <v>151</v>
      </c>
      <c r="B97" s="246" t="s">
        <v>133</v>
      </c>
      <c r="C97" s="149">
        <f t="shared" si="30"/>
        <v>145.57249999999999</v>
      </c>
      <c r="D97" s="241"/>
      <c r="E97" s="242"/>
      <c r="F97" s="233"/>
      <c r="G97" s="147">
        <v>13657.254500410885</v>
      </c>
      <c r="H97" s="147">
        <v>1746.87</v>
      </c>
      <c r="I97" s="85">
        <f t="shared" si="29"/>
        <v>11910.384500410884</v>
      </c>
      <c r="J97" s="207">
        <v>47.15</v>
      </c>
      <c r="K97" s="207">
        <v>477.83999999999992</v>
      </c>
      <c r="L97" s="85">
        <f t="shared" si="31"/>
        <v>524.9899999999999</v>
      </c>
      <c r="M97" s="16">
        <f t="shared" si="32"/>
        <v>0.3005318083200238</v>
      </c>
      <c r="N97" s="234">
        <v>3121.5800000000013</v>
      </c>
    </row>
    <row r="98" spans="1:14" ht="25.5" x14ac:dyDescent="0.2">
      <c r="A98" s="245" t="s">
        <v>152</v>
      </c>
      <c r="B98" s="246" t="s">
        <v>133</v>
      </c>
      <c r="C98" s="149">
        <f>H98/12</f>
        <v>0</v>
      </c>
      <c r="D98" s="241"/>
      <c r="E98" s="242"/>
      <c r="F98" s="233"/>
      <c r="G98" s="147">
        <v>1924.3850000000002</v>
      </c>
      <c r="H98" s="147">
        <v>0</v>
      </c>
      <c r="I98" s="85">
        <f t="shared" si="29"/>
        <v>1924.3850000000002</v>
      </c>
      <c r="J98" s="207">
        <v>0</v>
      </c>
      <c r="K98" s="207">
        <v>0</v>
      </c>
      <c r="L98" s="85">
        <f t="shared" si="31"/>
        <v>0</v>
      </c>
      <c r="M98" s="16" t="str">
        <f t="shared" si="32"/>
        <v>N/A</v>
      </c>
      <c r="N98" s="234">
        <v>2867.0499999999997</v>
      </c>
    </row>
    <row r="99" spans="1:14" ht="25.5" x14ac:dyDescent="0.2">
      <c r="A99" s="245" t="s">
        <v>153</v>
      </c>
      <c r="B99" s="246" t="s">
        <v>133</v>
      </c>
      <c r="C99" s="149">
        <f t="shared" si="30"/>
        <v>974.81875000000002</v>
      </c>
      <c r="D99" s="241"/>
      <c r="E99" s="242"/>
      <c r="F99" s="233"/>
      <c r="G99" s="147">
        <v>61526.114999999991</v>
      </c>
      <c r="H99" s="147">
        <v>11697.825000000001</v>
      </c>
      <c r="I99" s="92">
        <f t="shared" si="29"/>
        <v>49828.289999999994</v>
      </c>
      <c r="J99" s="207">
        <v>5287.28</v>
      </c>
      <c r="K99" s="207">
        <v>5494.31</v>
      </c>
      <c r="L99" s="89">
        <f t="shared" si="31"/>
        <v>10781.59</v>
      </c>
      <c r="M99" s="15">
        <f t="shared" si="32"/>
        <v>0.92167475577724911</v>
      </c>
      <c r="N99" s="234">
        <v>51610.429999999978</v>
      </c>
    </row>
    <row r="100" spans="1:14" ht="25.5" x14ac:dyDescent="0.2">
      <c r="A100" s="245" t="s">
        <v>154</v>
      </c>
      <c r="B100" s="246" t="s">
        <v>133</v>
      </c>
      <c r="C100" s="149">
        <f t="shared" si="30"/>
        <v>700.46208333333334</v>
      </c>
      <c r="D100" s="241"/>
      <c r="E100" s="242"/>
      <c r="F100" s="233"/>
      <c r="G100" s="147">
        <v>30369.145</v>
      </c>
      <c r="H100" s="147">
        <v>8405.5450000000001</v>
      </c>
      <c r="I100" s="92">
        <f t="shared" si="29"/>
        <v>21963.599999999999</v>
      </c>
      <c r="J100" s="207">
        <v>1828.4399999999998</v>
      </c>
      <c r="K100" s="207">
        <v>2630.6600000000017</v>
      </c>
      <c r="L100" s="89">
        <f t="shared" si="31"/>
        <v>4459.1000000000013</v>
      </c>
      <c r="M100" s="15">
        <f t="shared" si="32"/>
        <v>0.53049504820924775</v>
      </c>
      <c r="N100" s="234">
        <v>21662.330000000024</v>
      </c>
    </row>
    <row r="101" spans="1:14" ht="25.5" x14ac:dyDescent="0.2">
      <c r="A101" s="245" t="s">
        <v>155</v>
      </c>
      <c r="B101" s="246" t="s">
        <v>133</v>
      </c>
      <c r="C101" s="149">
        <f t="shared" si="30"/>
        <v>0</v>
      </c>
      <c r="D101" s="241"/>
      <c r="E101" s="242"/>
      <c r="F101" s="233"/>
      <c r="G101" s="147">
        <v>649.60500000000002</v>
      </c>
      <c r="H101" s="147">
        <v>0</v>
      </c>
      <c r="I101" s="92">
        <f t="shared" si="29"/>
        <v>649.60500000000002</v>
      </c>
      <c r="J101" s="207">
        <v>0</v>
      </c>
      <c r="K101" s="207">
        <v>0</v>
      </c>
      <c r="L101" s="89">
        <f t="shared" si="31"/>
        <v>0</v>
      </c>
      <c r="M101" s="15" t="str">
        <f t="shared" si="32"/>
        <v>N/A</v>
      </c>
      <c r="N101" s="234">
        <v>1161.4300000000003</v>
      </c>
    </row>
    <row r="102" spans="1:14" ht="25.5" x14ac:dyDescent="0.2">
      <c r="A102" s="245" t="s">
        <v>156</v>
      </c>
      <c r="B102" s="246" t="s">
        <v>133</v>
      </c>
      <c r="C102" s="149">
        <f t="shared" si="30"/>
        <v>19.348749999999999</v>
      </c>
      <c r="D102" s="241"/>
      <c r="E102" s="242"/>
      <c r="F102" s="233"/>
      <c r="G102" s="147">
        <v>526.72</v>
      </c>
      <c r="H102" s="147">
        <v>232.185</v>
      </c>
      <c r="I102" s="92">
        <f t="shared" si="29"/>
        <v>294.53500000000003</v>
      </c>
      <c r="J102" s="207">
        <v>740.48000000000013</v>
      </c>
      <c r="K102" s="207">
        <v>0</v>
      </c>
      <c r="L102" s="89">
        <f t="shared" si="31"/>
        <v>740.48000000000013</v>
      </c>
      <c r="M102" s="15">
        <f t="shared" si="32"/>
        <v>3.1891810409802535</v>
      </c>
      <c r="N102" s="234">
        <v>3436.9100000000017</v>
      </c>
    </row>
    <row r="103" spans="1:14" ht="25.5" x14ac:dyDescent="0.2">
      <c r="A103" s="245" t="s">
        <v>157</v>
      </c>
      <c r="B103" s="246" t="s">
        <v>133</v>
      </c>
      <c r="C103" s="149"/>
      <c r="D103" s="241"/>
      <c r="E103" s="242"/>
      <c r="F103" s="233"/>
      <c r="G103" s="147">
        <v>146.26</v>
      </c>
      <c r="H103" s="147">
        <v>0</v>
      </c>
      <c r="I103" s="92">
        <f t="shared" si="29"/>
        <v>146.26</v>
      </c>
      <c r="J103" s="207">
        <v>0</v>
      </c>
      <c r="K103" s="207">
        <v>0</v>
      </c>
      <c r="L103" s="89">
        <f t="shared" si="31"/>
        <v>0</v>
      </c>
      <c r="M103" s="15" t="str">
        <f t="shared" si="32"/>
        <v>N/A</v>
      </c>
      <c r="N103" s="234">
        <v>831.77999999999986</v>
      </c>
    </row>
    <row r="104" spans="1:14" x14ac:dyDescent="0.2">
      <c r="A104" s="245"/>
      <c r="B104" s="246"/>
      <c r="C104" s="149"/>
      <c r="D104" s="241"/>
      <c r="E104" s="242"/>
      <c r="F104" s="233"/>
      <c r="G104" s="147">
        <v>0</v>
      </c>
      <c r="H104" s="147">
        <v>0</v>
      </c>
      <c r="I104" s="92">
        <f t="shared" si="29"/>
        <v>0</v>
      </c>
      <c r="J104" s="243">
        <v>0</v>
      </c>
      <c r="K104" s="243">
        <v>0</v>
      </c>
      <c r="L104" s="89">
        <f t="shared" si="31"/>
        <v>0</v>
      </c>
      <c r="M104" s="15" t="str">
        <f t="shared" si="32"/>
        <v>N/A</v>
      </c>
      <c r="N104" s="234">
        <v>0</v>
      </c>
    </row>
    <row r="105" spans="1:14" x14ac:dyDescent="0.2">
      <c r="A105" s="245"/>
      <c r="B105" s="247"/>
      <c r="C105" s="150"/>
      <c r="D105" s="241"/>
      <c r="E105" s="242"/>
      <c r="F105" s="233"/>
      <c r="G105" s="147">
        <v>0</v>
      </c>
      <c r="H105" s="145">
        <v>0</v>
      </c>
      <c r="I105" s="85">
        <f t="shared" si="29"/>
        <v>0</v>
      </c>
      <c r="J105" s="207">
        <v>0</v>
      </c>
      <c r="K105" s="207">
        <v>0</v>
      </c>
      <c r="L105" s="85">
        <f t="shared" si="31"/>
        <v>0</v>
      </c>
      <c r="M105" s="16" t="str">
        <f t="shared" si="32"/>
        <v>N/A</v>
      </c>
      <c r="N105" s="248">
        <v>0</v>
      </c>
    </row>
    <row r="106" spans="1:14" ht="13.5" thickBot="1" x14ac:dyDescent="0.25">
      <c r="A106" s="189"/>
      <c r="B106" s="186"/>
      <c r="C106" s="238" t="s">
        <v>158</v>
      </c>
      <c r="D106" s="239"/>
      <c r="E106" s="239"/>
      <c r="F106" s="240"/>
      <c r="G106" s="90">
        <f t="shared" ref="G106:L106" si="36">SUM(G87:G105)</f>
        <v>407996.90450041089</v>
      </c>
      <c r="H106" s="90">
        <f t="shared" si="36"/>
        <v>142369.19950000002</v>
      </c>
      <c r="I106" s="90">
        <f t="shared" si="36"/>
        <v>265627.70500041085</v>
      </c>
      <c r="J106" s="90">
        <f t="shared" si="36"/>
        <v>70452.05475000001</v>
      </c>
      <c r="K106" s="90">
        <f t="shared" si="36"/>
        <v>71917.014750000002</v>
      </c>
      <c r="L106" s="90">
        <f t="shared" si="36"/>
        <v>142369.06950000004</v>
      </c>
      <c r="M106" s="25">
        <f>IFERROR(L106/H106,"N/A")</f>
        <v>0.99999908688114825</v>
      </c>
      <c r="N106" s="91">
        <f>SUM(N87:N105)</f>
        <v>483949.19000000018</v>
      </c>
    </row>
    <row r="107" spans="1:14" ht="13.5" thickBot="1" x14ac:dyDescent="0.25"/>
    <row r="108" spans="1:14" s="198" customFormat="1" x14ac:dyDescent="0.2">
      <c r="A108" s="221" t="s">
        <v>159</v>
      </c>
      <c r="B108" s="222"/>
      <c r="C108" s="222"/>
      <c r="D108" s="222"/>
      <c r="E108" s="222"/>
      <c r="F108" s="223"/>
      <c r="G108" s="224"/>
      <c r="H108" s="224"/>
      <c r="I108" s="224"/>
      <c r="J108" s="224"/>
      <c r="K108" s="224"/>
      <c r="L108" s="224"/>
      <c r="M108" s="4"/>
      <c r="N108" s="3"/>
    </row>
    <row r="109" spans="1:14" x14ac:dyDescent="0.2">
      <c r="A109" s="225" t="s">
        <v>160</v>
      </c>
      <c r="B109" s="195"/>
      <c r="C109" s="195"/>
      <c r="D109" s="195"/>
      <c r="E109" s="195"/>
      <c r="F109" s="196"/>
      <c r="G109" s="197"/>
      <c r="H109" s="197"/>
      <c r="I109" s="197"/>
      <c r="J109" s="197"/>
      <c r="K109" s="197"/>
      <c r="L109" s="197"/>
      <c r="M109" s="6"/>
      <c r="N109" s="5"/>
    </row>
    <row r="110" spans="1:14" ht="33.75" x14ac:dyDescent="0.2">
      <c r="A110" s="226" t="s">
        <v>120</v>
      </c>
      <c r="B110" s="227"/>
      <c r="C110" s="228"/>
      <c r="D110" s="228"/>
      <c r="E110" s="228"/>
      <c r="F110" s="228"/>
      <c r="G110" s="201" t="s">
        <v>39</v>
      </c>
      <c r="H110" s="201" t="s">
        <v>40</v>
      </c>
      <c r="I110" s="201" t="s">
        <v>41</v>
      </c>
      <c r="J110" s="201" t="s">
        <v>42</v>
      </c>
      <c r="K110" s="201" t="s">
        <v>43</v>
      </c>
      <c r="L110" s="201" t="s">
        <v>44</v>
      </c>
      <c r="M110" s="23" t="s">
        <v>45</v>
      </c>
      <c r="N110" s="24" t="s">
        <v>46</v>
      </c>
    </row>
    <row r="111" spans="1:14" ht="25.5" x14ac:dyDescent="0.2">
      <c r="A111" s="245" t="s">
        <v>161</v>
      </c>
      <c r="B111" s="246" t="s">
        <v>133</v>
      </c>
      <c r="C111" s="149">
        <f t="shared" ref="C111" si="37">H111/12</f>
        <v>463.66</v>
      </c>
      <c r="D111" s="241"/>
      <c r="E111" s="242"/>
      <c r="F111" s="233"/>
      <c r="G111" s="147">
        <v>21870.330000000005</v>
      </c>
      <c r="H111" s="147">
        <v>5563.92</v>
      </c>
      <c r="I111" s="85">
        <f t="shared" ref="I111:I112" si="38">G111-H111</f>
        <v>16306.410000000005</v>
      </c>
      <c r="J111" s="207">
        <v>2781.96</v>
      </c>
      <c r="K111" s="207">
        <v>2781.96</v>
      </c>
      <c r="L111" s="85">
        <f>SUM(J111:K111)</f>
        <v>5563.92</v>
      </c>
      <c r="M111" s="16">
        <f>IFERROR(L111/H111,"N/A")</f>
        <v>1</v>
      </c>
      <c r="N111" s="234">
        <v>18931.449999999993</v>
      </c>
    </row>
    <row r="112" spans="1:14" ht="25.5" x14ac:dyDescent="0.2">
      <c r="A112" s="245" t="s">
        <v>162</v>
      </c>
      <c r="B112" s="246" t="s">
        <v>133</v>
      </c>
      <c r="C112" s="149"/>
      <c r="D112" s="241"/>
      <c r="E112" s="242"/>
      <c r="F112" s="233"/>
      <c r="G112" s="147">
        <v>0</v>
      </c>
      <c r="H112" s="147">
        <v>0</v>
      </c>
      <c r="I112" s="85">
        <f t="shared" si="38"/>
        <v>0</v>
      </c>
      <c r="J112" s="207">
        <v>0</v>
      </c>
      <c r="K112" s="207">
        <v>0</v>
      </c>
      <c r="L112" s="85">
        <f t="shared" ref="L112" si="39">SUM(J112:K112)</f>
        <v>0</v>
      </c>
      <c r="M112" s="16" t="str">
        <f t="shared" ref="M112" si="40">IFERROR(L112/H112,"N/A")</f>
        <v>N/A</v>
      </c>
      <c r="N112" s="234">
        <v>693.78000000000009</v>
      </c>
    </row>
    <row r="113" spans="1:14" x14ac:dyDescent="0.2">
      <c r="A113" s="245"/>
      <c r="B113" s="247"/>
      <c r="C113" s="150"/>
      <c r="D113" s="241"/>
      <c r="E113" s="242"/>
      <c r="F113" s="233"/>
      <c r="G113" s="145">
        <v>0</v>
      </c>
      <c r="H113" s="145">
        <v>0</v>
      </c>
      <c r="I113" s="85">
        <f t="shared" ref="I113:I114" si="41">G113-H113</f>
        <v>0</v>
      </c>
      <c r="J113" s="207">
        <v>0</v>
      </c>
      <c r="K113" s="207">
        <v>0</v>
      </c>
      <c r="L113" s="85">
        <f t="shared" ref="L113:L114" si="42">SUM(J113:K113)</f>
        <v>0</v>
      </c>
      <c r="M113" s="16" t="str">
        <f t="shared" ref="M113:M114" si="43">IFERROR(L113/H113,"N/A")</f>
        <v>N/A</v>
      </c>
      <c r="N113" s="248">
        <v>0</v>
      </c>
    </row>
    <row r="114" spans="1:14" x14ac:dyDescent="0.2">
      <c r="A114" s="245"/>
      <c r="B114" s="247"/>
      <c r="C114" s="150"/>
      <c r="D114" s="241"/>
      <c r="E114" s="242"/>
      <c r="F114" s="233"/>
      <c r="G114" s="145">
        <v>0</v>
      </c>
      <c r="H114" s="145">
        <v>0</v>
      </c>
      <c r="I114" s="85">
        <f t="shared" si="41"/>
        <v>0</v>
      </c>
      <c r="J114" s="207">
        <v>0</v>
      </c>
      <c r="K114" s="207">
        <v>0</v>
      </c>
      <c r="L114" s="85">
        <f t="shared" si="42"/>
        <v>0</v>
      </c>
      <c r="M114" s="16" t="str">
        <f t="shared" si="43"/>
        <v>N/A</v>
      </c>
      <c r="N114" s="248">
        <v>0</v>
      </c>
    </row>
    <row r="115" spans="1:14" ht="13.5" thickBot="1" x14ac:dyDescent="0.25">
      <c r="A115" s="189"/>
      <c r="B115" s="186"/>
      <c r="C115" s="238" t="s">
        <v>163</v>
      </c>
      <c r="D115" s="239"/>
      <c r="E115" s="239"/>
      <c r="F115" s="240"/>
      <c r="G115" s="90">
        <f t="shared" ref="G115:L115" si="44">SUM(G111:G114)</f>
        <v>21870.330000000005</v>
      </c>
      <c r="H115" s="90">
        <f t="shared" si="44"/>
        <v>5563.92</v>
      </c>
      <c r="I115" s="90">
        <f t="shared" si="44"/>
        <v>16306.410000000005</v>
      </c>
      <c r="J115" s="90">
        <f t="shared" si="44"/>
        <v>2781.96</v>
      </c>
      <c r="K115" s="90">
        <f t="shared" si="44"/>
        <v>2781.96</v>
      </c>
      <c r="L115" s="90">
        <f t="shared" si="44"/>
        <v>5563.92</v>
      </c>
      <c r="M115" s="25">
        <f>IFERROR(L115/H115,"N/A")</f>
        <v>1</v>
      </c>
      <c r="N115" s="91">
        <f>SUM(N111:N114)</f>
        <v>19625.229999999992</v>
      </c>
    </row>
    <row r="116" spans="1:14" ht="13.5" thickBot="1" x14ac:dyDescent="0.25"/>
    <row r="117" spans="1:14" s="198" customFormat="1" x14ac:dyDescent="0.2">
      <c r="A117" s="221" t="s">
        <v>164</v>
      </c>
      <c r="B117" s="222"/>
      <c r="C117" s="222"/>
      <c r="D117" s="222"/>
      <c r="E117" s="222"/>
      <c r="F117" s="223"/>
      <c r="G117" s="224"/>
      <c r="H117" s="224"/>
      <c r="I117" s="224"/>
      <c r="J117" s="224"/>
      <c r="K117" s="224"/>
      <c r="L117" s="224"/>
      <c r="M117" s="4"/>
      <c r="N117" s="3"/>
    </row>
    <row r="118" spans="1:14" x14ac:dyDescent="0.2">
      <c r="A118" s="225" t="s">
        <v>165</v>
      </c>
      <c r="B118" s="195"/>
      <c r="C118" s="195"/>
      <c r="D118" s="195"/>
      <c r="E118" s="195"/>
      <c r="F118" s="196"/>
      <c r="G118" s="197"/>
      <c r="H118" s="197"/>
      <c r="I118" s="197"/>
      <c r="J118" s="197"/>
      <c r="K118" s="197"/>
      <c r="L118" s="197"/>
      <c r="M118" s="6"/>
      <c r="N118" s="5"/>
    </row>
    <row r="119" spans="1:14" ht="33.75" x14ac:dyDescent="0.2">
      <c r="A119" s="226" t="s">
        <v>120</v>
      </c>
      <c r="B119" s="227"/>
      <c r="C119" s="228"/>
      <c r="D119" s="228"/>
      <c r="E119" s="228"/>
      <c r="F119" s="228"/>
      <c r="G119" s="201" t="s">
        <v>39</v>
      </c>
      <c r="H119" s="201" t="s">
        <v>40</v>
      </c>
      <c r="I119" s="201" t="s">
        <v>41</v>
      </c>
      <c r="J119" s="201" t="s">
        <v>42</v>
      </c>
      <c r="K119" s="201" t="s">
        <v>43</v>
      </c>
      <c r="L119" s="201" t="s">
        <v>44</v>
      </c>
      <c r="M119" s="23" t="s">
        <v>45</v>
      </c>
      <c r="N119" s="24" t="s">
        <v>46</v>
      </c>
    </row>
    <row r="120" spans="1:14" x14ac:dyDescent="0.2">
      <c r="A120" s="249"/>
      <c r="B120" s="247"/>
      <c r="C120" s="150"/>
      <c r="D120" s="241"/>
      <c r="E120" s="242"/>
      <c r="F120" s="233"/>
      <c r="G120" s="145">
        <v>0</v>
      </c>
      <c r="H120" s="145">
        <v>0</v>
      </c>
      <c r="I120" s="85">
        <f t="shared" ref="I120:I122" si="45">G120-H120</f>
        <v>0</v>
      </c>
      <c r="J120" s="207">
        <v>0</v>
      </c>
      <c r="K120" s="207">
        <v>0</v>
      </c>
      <c r="L120" s="85">
        <f>SUM(J120:K120)</f>
        <v>0</v>
      </c>
      <c r="M120" s="16" t="str">
        <f>IFERROR(L120/H120,"N/A")</f>
        <v>N/A</v>
      </c>
      <c r="N120" s="248">
        <v>0</v>
      </c>
    </row>
    <row r="121" spans="1:14" x14ac:dyDescent="0.2">
      <c r="A121" s="245"/>
      <c r="B121" s="247"/>
      <c r="C121" s="150"/>
      <c r="D121" s="241"/>
      <c r="E121" s="242"/>
      <c r="F121" s="233"/>
      <c r="G121" s="145">
        <v>0</v>
      </c>
      <c r="H121" s="145">
        <v>0</v>
      </c>
      <c r="I121" s="85">
        <f t="shared" si="45"/>
        <v>0</v>
      </c>
      <c r="J121" s="207">
        <v>0</v>
      </c>
      <c r="K121" s="207">
        <v>0</v>
      </c>
      <c r="L121" s="85">
        <f t="shared" ref="L121:L122" si="46">SUM(J121:K121)</f>
        <v>0</v>
      </c>
      <c r="M121" s="16" t="str">
        <f t="shared" ref="M121:M122" si="47">IFERROR(L121/H121,"N/A")</f>
        <v>N/A</v>
      </c>
      <c r="N121" s="248">
        <v>0</v>
      </c>
    </row>
    <row r="122" spans="1:14" x14ac:dyDescent="0.2">
      <c r="A122" s="245"/>
      <c r="B122" s="247"/>
      <c r="C122" s="150"/>
      <c r="D122" s="241"/>
      <c r="E122" s="242"/>
      <c r="F122" s="233"/>
      <c r="G122" s="145">
        <v>0</v>
      </c>
      <c r="H122" s="145">
        <v>0</v>
      </c>
      <c r="I122" s="85">
        <f t="shared" si="45"/>
        <v>0</v>
      </c>
      <c r="J122" s="207">
        <v>0</v>
      </c>
      <c r="K122" s="207">
        <v>0</v>
      </c>
      <c r="L122" s="85">
        <f t="shared" si="46"/>
        <v>0</v>
      </c>
      <c r="M122" s="16" t="str">
        <f t="shared" si="47"/>
        <v>N/A</v>
      </c>
      <c r="N122" s="248">
        <v>0</v>
      </c>
    </row>
    <row r="123" spans="1:14" ht="13.5" thickBot="1" x14ac:dyDescent="0.25">
      <c r="A123" s="189"/>
      <c r="B123" s="186"/>
      <c r="C123" s="238" t="s">
        <v>166</v>
      </c>
      <c r="D123" s="239"/>
      <c r="E123" s="239"/>
      <c r="F123" s="240"/>
      <c r="G123" s="90">
        <f t="shared" ref="G123:L123" si="48">SUM(G120:G122)</f>
        <v>0</v>
      </c>
      <c r="H123" s="90">
        <f t="shared" si="48"/>
        <v>0</v>
      </c>
      <c r="I123" s="90">
        <f t="shared" si="48"/>
        <v>0</v>
      </c>
      <c r="J123" s="90">
        <f t="shared" si="48"/>
        <v>0</v>
      </c>
      <c r="K123" s="90">
        <f t="shared" si="48"/>
        <v>0</v>
      </c>
      <c r="L123" s="90">
        <f t="shared" si="48"/>
        <v>0</v>
      </c>
      <c r="M123" s="25" t="str">
        <f>IFERROR(L123/H123,"N/A")</f>
        <v>N/A</v>
      </c>
      <c r="N123" s="91">
        <f>SUM(N120:N122)</f>
        <v>0</v>
      </c>
    </row>
    <row r="124" spans="1:14" ht="13.5" thickBot="1" x14ac:dyDescent="0.25"/>
    <row r="125" spans="1:14" s="198" customFormat="1" x14ac:dyDescent="0.2">
      <c r="A125" s="221" t="s">
        <v>167</v>
      </c>
      <c r="B125" s="222"/>
      <c r="C125" s="222"/>
      <c r="D125" s="222"/>
      <c r="E125" s="222"/>
      <c r="F125" s="223"/>
      <c r="G125" s="224"/>
      <c r="H125" s="224"/>
      <c r="I125" s="224"/>
      <c r="J125" s="224"/>
      <c r="K125" s="224"/>
      <c r="L125" s="224"/>
      <c r="M125" s="4"/>
      <c r="N125" s="3"/>
    </row>
    <row r="126" spans="1:14" s="198" customFormat="1" ht="11.25" x14ac:dyDescent="0.2">
      <c r="A126" s="225" t="s">
        <v>168</v>
      </c>
      <c r="B126" s="250"/>
      <c r="C126" s="250"/>
      <c r="D126" s="250"/>
      <c r="E126" s="250"/>
      <c r="F126" s="196"/>
      <c r="G126" s="196"/>
      <c r="H126" s="196"/>
      <c r="I126" s="196"/>
      <c r="J126" s="196"/>
      <c r="K126" s="196"/>
      <c r="L126" s="196"/>
      <c r="M126" s="69"/>
      <c r="N126" s="251"/>
    </row>
    <row r="127" spans="1:14" s="198" customFormat="1" ht="11.25" x14ac:dyDescent="0.2">
      <c r="A127" s="252" t="s">
        <v>169</v>
      </c>
      <c r="B127" s="250"/>
      <c r="C127" s="250"/>
      <c r="D127" s="250"/>
      <c r="E127" s="250"/>
      <c r="F127" s="196"/>
      <c r="G127" s="196"/>
      <c r="H127" s="196"/>
      <c r="I127" s="196"/>
      <c r="J127" s="196"/>
      <c r="K127" s="196"/>
      <c r="L127" s="196"/>
      <c r="M127" s="69"/>
      <c r="N127" s="251"/>
    </row>
    <row r="128" spans="1:14" s="198" customFormat="1" ht="11.25" x14ac:dyDescent="0.2">
      <c r="A128" s="252" t="s">
        <v>170</v>
      </c>
      <c r="B128" s="250"/>
      <c r="C128" s="250"/>
      <c r="D128" s="250"/>
      <c r="E128" s="250"/>
      <c r="F128" s="250"/>
      <c r="G128" s="26"/>
      <c r="H128" s="26"/>
      <c r="I128" s="26"/>
      <c r="J128" s="26"/>
      <c r="K128" s="26"/>
      <c r="L128" s="26"/>
      <c r="M128" s="27"/>
      <c r="N128" s="28"/>
    </row>
    <row r="129" spans="1:14" ht="34.5" thickBot="1" x14ac:dyDescent="0.25">
      <c r="A129" s="226" t="s">
        <v>120</v>
      </c>
      <c r="B129" s="227"/>
      <c r="C129" s="228"/>
      <c r="D129" s="228"/>
      <c r="E129" s="228"/>
      <c r="F129" s="228"/>
      <c r="G129" s="201" t="s">
        <v>39</v>
      </c>
      <c r="H129" s="201" t="s">
        <v>40</v>
      </c>
      <c r="I129" s="201" t="s">
        <v>41</v>
      </c>
      <c r="J129" s="201" t="s">
        <v>42</v>
      </c>
      <c r="K129" s="201" t="s">
        <v>43</v>
      </c>
      <c r="L129" s="201" t="s">
        <v>44</v>
      </c>
      <c r="M129" s="23" t="s">
        <v>45</v>
      </c>
      <c r="N129" s="24" t="s">
        <v>46</v>
      </c>
    </row>
    <row r="130" spans="1:14" ht="13.5" thickBot="1" x14ac:dyDescent="0.25">
      <c r="A130" s="253" t="s">
        <v>171</v>
      </c>
      <c r="B130" s="254"/>
      <c r="C130" s="151"/>
      <c r="D130" s="233"/>
      <c r="E130" s="255" t="s">
        <v>172</v>
      </c>
      <c r="F130" s="256">
        <f>IFERROR(H132/H134,"N/A")</f>
        <v>9.0908805780369112E-2</v>
      </c>
      <c r="G130" s="147">
        <v>187907.27805876118</v>
      </c>
      <c r="H130" s="147">
        <v>34321</v>
      </c>
      <c r="I130" s="92">
        <f>G130-H130</f>
        <v>153586.27805876118</v>
      </c>
      <c r="J130" s="207">
        <v>17160.480000000003</v>
      </c>
      <c r="K130" s="207">
        <v>17160.480000000003</v>
      </c>
      <c r="L130" s="85">
        <f>SUM(J130:K130)</f>
        <v>34320.960000000006</v>
      </c>
      <c r="M130" s="16">
        <f>IFERROR(L130/H130,"N/A")</f>
        <v>0.99999883453279348</v>
      </c>
      <c r="N130" s="234">
        <v>84736.38</v>
      </c>
    </row>
    <row r="131" spans="1:14" ht="13.5" thickBot="1" x14ac:dyDescent="0.25">
      <c r="A131" s="257"/>
      <c r="B131" s="254"/>
      <c r="C131" s="152"/>
      <c r="D131" s="233"/>
      <c r="E131" s="255" t="s">
        <v>172</v>
      </c>
      <c r="F131" s="256" t="str">
        <f>IFERROR(H133/H135,"N/A")</f>
        <v>N/A</v>
      </c>
      <c r="G131" s="147">
        <v>0</v>
      </c>
      <c r="H131" s="147">
        <v>0</v>
      </c>
      <c r="I131" s="92">
        <f t="shared" ref="I131" si="49">G131-H131</f>
        <v>0</v>
      </c>
      <c r="J131" s="243">
        <v>0</v>
      </c>
      <c r="K131" s="243">
        <v>0</v>
      </c>
      <c r="L131" s="92">
        <f>SUM(J131:K131)</f>
        <v>0</v>
      </c>
      <c r="M131" s="22" t="str">
        <f>IFERROR(L131/H131,"N/A")</f>
        <v>N/A</v>
      </c>
      <c r="N131" s="258">
        <v>0</v>
      </c>
    </row>
    <row r="132" spans="1:14" ht="13.5" thickBot="1" x14ac:dyDescent="0.25">
      <c r="A132" s="189"/>
      <c r="B132" s="186"/>
      <c r="C132" s="238" t="s">
        <v>173</v>
      </c>
      <c r="D132" s="239"/>
      <c r="E132" s="239"/>
      <c r="F132" s="259"/>
      <c r="G132" s="93">
        <f>SUM(G130:G131)</f>
        <v>187907.27805876118</v>
      </c>
      <c r="H132" s="93">
        <f>SUM(H130:H131)</f>
        <v>34321</v>
      </c>
      <c r="I132" s="93">
        <f>SUM(I130:I131)</f>
        <v>153586.27805876118</v>
      </c>
      <c r="J132" s="93">
        <f t="shared" ref="J132:L132" si="50">SUM(J130:J131)</f>
        <v>17160.480000000003</v>
      </c>
      <c r="K132" s="93">
        <f t="shared" si="50"/>
        <v>17160.480000000003</v>
      </c>
      <c r="L132" s="93">
        <f t="shared" si="50"/>
        <v>34320.960000000006</v>
      </c>
      <c r="M132" s="82">
        <f>IFERROR(L132/H132,"N/A")</f>
        <v>0.99999883453279348</v>
      </c>
      <c r="N132" s="94">
        <f>SUM(N130:N131)</f>
        <v>84736.38</v>
      </c>
    </row>
    <row r="133" spans="1:14" ht="13.5" thickBot="1" x14ac:dyDescent="0.25"/>
    <row r="134" spans="1:14" ht="15.75" thickBot="1" x14ac:dyDescent="0.3">
      <c r="A134" s="260"/>
      <c r="B134" s="261"/>
      <c r="C134" s="262" t="s">
        <v>174</v>
      </c>
      <c r="D134" s="261"/>
      <c r="E134" s="261"/>
      <c r="F134" s="263"/>
      <c r="G134" s="95">
        <f t="shared" ref="G134:L134" si="51">SUM(G132,G123,G115,G106,G82,G74,G63)</f>
        <v>1980951.1351778216</v>
      </c>
      <c r="H134" s="95">
        <f t="shared" si="51"/>
        <v>377532.18409796001</v>
      </c>
      <c r="I134" s="95">
        <f t="shared" si="51"/>
        <v>1603418.951079861</v>
      </c>
      <c r="J134" s="95">
        <f t="shared" si="51"/>
        <v>188034.14678486</v>
      </c>
      <c r="K134" s="95">
        <f t="shared" si="51"/>
        <v>189497.99678486001</v>
      </c>
      <c r="L134" s="95">
        <f t="shared" si="51"/>
        <v>377532.14356972004</v>
      </c>
      <c r="M134" s="2">
        <f>IFERROR(L134/H134,"N/A")</f>
        <v>0.99999989264957612</v>
      </c>
      <c r="N134" s="96">
        <f>SUM(N132,N123,N115,N106,N82,N74,N63)</f>
        <v>1830105.5599999998</v>
      </c>
    </row>
    <row r="135" spans="1:14" ht="15" customHeight="1" thickBot="1" x14ac:dyDescent="0.25"/>
    <row r="136" spans="1:14" ht="15" x14ac:dyDescent="0.25">
      <c r="A136" s="264" t="s">
        <v>24</v>
      </c>
      <c r="B136" s="222"/>
      <c r="C136" s="222"/>
      <c r="D136" s="222"/>
      <c r="E136" s="222"/>
      <c r="F136" s="222"/>
      <c r="G136" s="222"/>
      <c r="H136" s="222"/>
      <c r="I136" s="222"/>
      <c r="J136" s="222"/>
      <c r="K136" s="222"/>
      <c r="L136" s="222"/>
      <c r="M136" s="222"/>
      <c r="N136" s="265"/>
    </row>
    <row r="137" spans="1:14" ht="14.25" x14ac:dyDescent="0.2">
      <c r="A137" s="266" t="s">
        <v>175</v>
      </c>
      <c r="B137" s="267"/>
      <c r="C137" s="267"/>
      <c r="D137" s="267"/>
      <c r="E137" s="267"/>
      <c r="F137" s="267"/>
      <c r="G137" s="267"/>
      <c r="H137" s="267"/>
      <c r="I137" s="267"/>
      <c r="J137" s="267"/>
      <c r="K137" s="267"/>
      <c r="L137" s="267"/>
      <c r="M137" s="267"/>
      <c r="N137" s="268"/>
    </row>
    <row r="138" spans="1:14" ht="15" x14ac:dyDescent="0.25">
      <c r="A138" s="266" t="s">
        <v>176</v>
      </c>
      <c r="B138" s="267"/>
      <c r="C138" s="267"/>
      <c r="D138" s="267"/>
      <c r="E138" s="267"/>
      <c r="F138" s="267"/>
      <c r="G138" s="267"/>
      <c r="H138" s="267"/>
      <c r="I138" s="267"/>
      <c r="J138" s="267"/>
      <c r="K138" s="267"/>
      <c r="L138" s="267"/>
      <c r="M138" s="267"/>
      <c r="N138" s="268"/>
    </row>
    <row r="139" spans="1:14" ht="15" x14ac:dyDescent="0.25">
      <c r="A139" s="266" t="s">
        <v>177</v>
      </c>
      <c r="B139" s="267"/>
      <c r="C139" s="267"/>
      <c r="D139" s="267"/>
      <c r="E139" s="267"/>
      <c r="F139" s="267"/>
      <c r="G139" s="267"/>
      <c r="H139" s="267"/>
      <c r="I139" s="267"/>
      <c r="J139" s="267"/>
      <c r="K139" s="267"/>
      <c r="L139" s="267"/>
      <c r="M139" s="267"/>
      <c r="N139" s="268"/>
    </row>
    <row r="140" spans="1:14" ht="45" customHeight="1" x14ac:dyDescent="0.2">
      <c r="A140" s="269" t="s">
        <v>178</v>
      </c>
      <c r="B140" s="270"/>
      <c r="C140" s="270" t="s">
        <v>120</v>
      </c>
      <c r="I140" s="271" t="s">
        <v>179</v>
      </c>
      <c r="J140" s="271" t="s">
        <v>180</v>
      </c>
      <c r="K140" s="271" t="s">
        <v>181</v>
      </c>
      <c r="L140" s="271" t="s">
        <v>182</v>
      </c>
      <c r="M140" s="76" t="s">
        <v>183</v>
      </c>
      <c r="N140" s="272" t="s">
        <v>184</v>
      </c>
    </row>
    <row r="141" spans="1:14" ht="15" customHeight="1" x14ac:dyDescent="0.2">
      <c r="A141" s="273" t="s">
        <v>185</v>
      </c>
      <c r="B141" s="102"/>
      <c r="C141" s="102"/>
      <c r="I141" s="103"/>
      <c r="J141" s="103"/>
      <c r="K141" s="103"/>
      <c r="L141" s="103"/>
      <c r="M141" s="11"/>
      <c r="N141" s="72"/>
    </row>
    <row r="142" spans="1:14" ht="15" customHeight="1" x14ac:dyDescent="0.2">
      <c r="A142" s="274" t="s">
        <v>186</v>
      </c>
      <c r="B142" s="153"/>
      <c r="C142" s="153" t="s">
        <v>63</v>
      </c>
      <c r="I142" s="145">
        <v>210240</v>
      </c>
      <c r="J142" s="237">
        <f>(215640)/2</f>
        <v>107820</v>
      </c>
      <c r="K142" s="237">
        <f>(215640)/2</f>
        <v>107820</v>
      </c>
      <c r="L142" s="97">
        <f t="shared" ref="L142:L144" si="52">SUM(J142:K142)</f>
        <v>215640</v>
      </c>
      <c r="M142" s="11"/>
      <c r="N142" s="72"/>
    </row>
    <row r="143" spans="1:14" ht="15" customHeight="1" x14ac:dyDescent="0.2">
      <c r="A143" s="274" t="s">
        <v>187</v>
      </c>
      <c r="B143" s="153"/>
      <c r="C143" s="153" t="s">
        <v>57</v>
      </c>
      <c r="I143" s="145">
        <v>584327</v>
      </c>
      <c r="J143" s="237">
        <f>584327/12*8</f>
        <v>389551.33333333331</v>
      </c>
      <c r="K143" s="237">
        <f>584327/12*4</f>
        <v>194775.66666666666</v>
      </c>
      <c r="L143" s="97">
        <f t="shared" ref="L143" si="53">SUM(J143:K143)</f>
        <v>584327</v>
      </c>
      <c r="M143" s="11"/>
      <c r="N143" s="72"/>
    </row>
    <row r="144" spans="1:14" ht="15" customHeight="1" x14ac:dyDescent="0.2">
      <c r="A144" s="274" t="s">
        <v>188</v>
      </c>
      <c r="B144" s="153"/>
      <c r="C144" s="153" t="s">
        <v>63</v>
      </c>
      <c r="I144" s="145">
        <v>0</v>
      </c>
      <c r="J144" s="237">
        <v>0</v>
      </c>
      <c r="K144" s="237">
        <v>0</v>
      </c>
      <c r="L144" s="97">
        <f t="shared" si="52"/>
        <v>0</v>
      </c>
      <c r="M144" s="11"/>
      <c r="N144" s="72"/>
    </row>
    <row r="145" spans="1:14" x14ac:dyDescent="0.2">
      <c r="A145" s="275" t="s">
        <v>189</v>
      </c>
      <c r="B145" s="102"/>
      <c r="I145" s="103"/>
      <c r="J145" s="103"/>
      <c r="K145" s="103"/>
      <c r="L145" s="103"/>
      <c r="M145" s="11"/>
      <c r="N145" s="72"/>
    </row>
    <row r="146" spans="1:14" ht="15" customHeight="1" x14ac:dyDescent="0.2">
      <c r="A146" s="274" t="s">
        <v>190</v>
      </c>
      <c r="B146" s="153"/>
      <c r="I146" s="145">
        <v>458851.95108686108</v>
      </c>
      <c r="J146" s="237">
        <f>225000+62000-75000</f>
        <v>212000</v>
      </c>
      <c r="K146" s="237">
        <f>235000+75000-75000-52532.5</f>
        <v>182467.5</v>
      </c>
      <c r="L146" s="97">
        <f t="shared" ref="L146:L156" si="54">SUM(J146:K146)</f>
        <v>394467.5</v>
      </c>
      <c r="M146" s="11"/>
      <c r="N146" s="72"/>
    </row>
    <row r="147" spans="1:14" ht="15" customHeight="1" x14ac:dyDescent="0.2">
      <c r="A147" s="274"/>
      <c r="B147" s="153"/>
      <c r="I147" s="145">
        <v>0</v>
      </c>
      <c r="J147" s="237">
        <v>0</v>
      </c>
      <c r="K147" s="237">
        <v>0</v>
      </c>
      <c r="L147" s="97">
        <f t="shared" si="54"/>
        <v>0</v>
      </c>
      <c r="M147" s="11"/>
      <c r="N147" s="72"/>
    </row>
    <row r="148" spans="1:14" x14ac:dyDescent="0.2">
      <c r="A148" s="275" t="s">
        <v>191</v>
      </c>
      <c r="B148" s="102"/>
      <c r="I148" s="103"/>
      <c r="J148" s="103"/>
      <c r="K148" s="103"/>
      <c r="L148" s="103"/>
      <c r="M148" s="11"/>
      <c r="N148" s="72"/>
    </row>
    <row r="149" spans="1:14" ht="15" customHeight="1" x14ac:dyDescent="0.2">
      <c r="A149" s="274" t="s">
        <v>192</v>
      </c>
      <c r="B149" s="153"/>
      <c r="I149" s="145">
        <v>350000</v>
      </c>
      <c r="J149" s="237">
        <f>175000-85000</f>
        <v>90000</v>
      </c>
      <c r="K149" s="237">
        <f>1830106-1259967-75000-62000-J149-175000</f>
        <v>168139</v>
      </c>
      <c r="L149" s="97">
        <f t="shared" ref="L149:L150" si="55">SUM(J149:K149)</f>
        <v>258139</v>
      </c>
      <c r="M149" s="11"/>
      <c r="N149" s="72"/>
    </row>
    <row r="150" spans="1:14" ht="15" customHeight="1" x14ac:dyDescent="0.2">
      <c r="A150" s="274"/>
      <c r="B150" s="153"/>
      <c r="I150" s="145">
        <v>0</v>
      </c>
      <c r="J150" s="237">
        <v>0</v>
      </c>
      <c r="K150" s="237">
        <v>0</v>
      </c>
      <c r="L150" s="97">
        <f t="shared" si="55"/>
        <v>0</v>
      </c>
      <c r="M150" s="11"/>
      <c r="N150" s="72"/>
    </row>
    <row r="151" spans="1:14" x14ac:dyDescent="0.2">
      <c r="A151" s="275" t="s">
        <v>193</v>
      </c>
      <c r="B151" s="102"/>
      <c r="I151" s="103"/>
      <c r="J151" s="103"/>
      <c r="K151" s="103"/>
      <c r="L151" s="103"/>
      <c r="M151" s="31"/>
      <c r="N151" s="73"/>
    </row>
    <row r="152" spans="1:14" ht="15" customHeight="1" x14ac:dyDescent="0.2">
      <c r="A152" s="274"/>
      <c r="B152" s="153"/>
      <c r="I152" s="145">
        <v>0</v>
      </c>
      <c r="J152" s="237">
        <v>0</v>
      </c>
      <c r="K152" s="237">
        <v>0</v>
      </c>
      <c r="L152" s="97">
        <f t="shared" ref="L152:L153" si="56">SUM(J152:K152)</f>
        <v>0</v>
      </c>
      <c r="M152" s="11"/>
      <c r="N152" s="72"/>
    </row>
    <row r="153" spans="1:14" ht="15" customHeight="1" x14ac:dyDescent="0.2">
      <c r="A153" s="274"/>
      <c r="B153" s="153"/>
      <c r="I153" s="145">
        <v>0</v>
      </c>
      <c r="J153" s="237">
        <v>0</v>
      </c>
      <c r="K153" s="237">
        <v>0</v>
      </c>
      <c r="L153" s="97">
        <f t="shared" si="56"/>
        <v>0</v>
      </c>
      <c r="M153" s="11"/>
      <c r="N153" s="72"/>
    </row>
    <row r="154" spans="1:14" x14ac:dyDescent="0.2">
      <c r="A154" s="275" t="s">
        <v>194</v>
      </c>
      <c r="B154" s="102"/>
      <c r="I154" s="103"/>
      <c r="J154" s="103"/>
      <c r="K154" s="103"/>
      <c r="L154" s="103"/>
      <c r="M154" s="31"/>
      <c r="N154" s="73"/>
    </row>
    <row r="155" spans="1:14" ht="15" customHeight="1" x14ac:dyDescent="0.2">
      <c r="A155" s="274"/>
      <c r="B155" s="153"/>
      <c r="I155" s="145">
        <v>0</v>
      </c>
      <c r="J155" s="237">
        <v>0</v>
      </c>
      <c r="K155" s="237">
        <v>0</v>
      </c>
      <c r="L155" s="97">
        <f t="shared" si="54"/>
        <v>0</v>
      </c>
      <c r="M155" s="11"/>
      <c r="N155" s="72"/>
    </row>
    <row r="156" spans="1:14" ht="15" customHeight="1" x14ac:dyDescent="0.2">
      <c r="A156" s="274"/>
      <c r="B156" s="153"/>
      <c r="I156" s="145">
        <v>0</v>
      </c>
      <c r="J156" s="237">
        <v>0</v>
      </c>
      <c r="K156" s="237">
        <v>0</v>
      </c>
      <c r="L156" s="97">
        <f t="shared" si="54"/>
        <v>0</v>
      </c>
      <c r="M156" s="11"/>
      <c r="N156" s="72"/>
    </row>
    <row r="157" spans="1:14" x14ac:dyDescent="0.2">
      <c r="A157" s="273" t="s">
        <v>195</v>
      </c>
      <c r="B157" s="102"/>
      <c r="I157" s="103"/>
      <c r="J157" s="103"/>
      <c r="K157" s="103"/>
      <c r="L157" s="103"/>
      <c r="M157" s="31"/>
      <c r="N157" s="73"/>
    </row>
    <row r="158" spans="1:14" ht="15" customHeight="1" x14ac:dyDescent="0.2">
      <c r="A158" s="274"/>
      <c r="B158" s="153"/>
      <c r="I158" s="145">
        <v>0</v>
      </c>
      <c r="J158" s="237">
        <v>0</v>
      </c>
      <c r="K158" s="237">
        <v>0</v>
      </c>
      <c r="L158" s="97">
        <f t="shared" ref="L158:L159" si="57">SUM(J158:K158)</f>
        <v>0</v>
      </c>
      <c r="M158" s="11"/>
      <c r="N158" s="72"/>
    </row>
    <row r="159" spans="1:14" ht="15" customHeight="1" x14ac:dyDescent="0.2">
      <c r="A159" s="274"/>
      <c r="B159" s="153"/>
      <c r="I159" s="145">
        <v>0</v>
      </c>
      <c r="J159" s="237">
        <v>0</v>
      </c>
      <c r="K159" s="237">
        <v>0</v>
      </c>
      <c r="L159" s="97">
        <f t="shared" si="57"/>
        <v>0</v>
      </c>
      <c r="M159" s="11"/>
      <c r="N159" s="72"/>
    </row>
    <row r="160" spans="1:14" ht="15.75" thickBot="1" x14ac:dyDescent="0.3">
      <c r="A160" s="276" t="s">
        <v>196</v>
      </c>
      <c r="B160" s="186"/>
      <c r="C160" s="186"/>
      <c r="D160" s="277" t="s">
        <v>197</v>
      </c>
      <c r="E160" s="278"/>
      <c r="F160" s="278"/>
      <c r="G160" s="278"/>
      <c r="H160" s="278"/>
      <c r="I160" s="98">
        <f>SUM(I141:I159)</f>
        <v>1603418.9510868611</v>
      </c>
      <c r="J160" s="98">
        <f t="shared" ref="J160:L160" si="58">SUM(J141:J159)</f>
        <v>799371.33333333326</v>
      </c>
      <c r="K160" s="98">
        <f t="shared" si="58"/>
        <v>653202.16666666663</v>
      </c>
      <c r="L160" s="98">
        <f t="shared" si="58"/>
        <v>1452573.5</v>
      </c>
      <c r="M160" s="99">
        <f>N13-L13</f>
        <v>1452573.4164302798</v>
      </c>
      <c r="N160" s="100">
        <f>IFERROR(L160-M160,"N/A")</f>
        <v>8.3569720154628158E-2</v>
      </c>
    </row>
    <row r="161" spans="1:14" ht="13.5" thickBot="1" x14ac:dyDescent="0.25">
      <c r="A161" s="164"/>
      <c r="F161" s="279"/>
    </row>
    <row r="162" spans="1:14" x14ac:dyDescent="0.2">
      <c r="A162" s="280" t="s">
        <v>198</v>
      </c>
      <c r="B162" s="188"/>
      <c r="C162" s="188"/>
      <c r="D162" s="188"/>
      <c r="E162" s="188"/>
      <c r="F162" s="281"/>
      <c r="G162" s="281"/>
      <c r="H162" s="281"/>
      <c r="I162" s="281"/>
      <c r="J162" s="281"/>
      <c r="K162" s="281"/>
      <c r="L162" s="281"/>
      <c r="M162" s="14"/>
      <c r="N162" s="13"/>
    </row>
    <row r="163" spans="1:14" ht="13.5" thickBot="1" x14ac:dyDescent="0.25">
      <c r="A163" s="184" t="s">
        <v>199</v>
      </c>
      <c r="B163" s="185"/>
      <c r="C163" s="185"/>
      <c r="D163" s="185"/>
      <c r="E163" s="185"/>
      <c r="F163" s="282"/>
      <c r="G163" s="282"/>
      <c r="H163" s="282"/>
      <c r="I163" s="282"/>
      <c r="J163" s="282"/>
      <c r="K163" s="282"/>
      <c r="L163" s="282"/>
      <c r="M163" s="10"/>
      <c r="N163" s="9"/>
    </row>
  </sheetData>
  <sheetProtection algorithmName="SHA-512" hashValue="gO9SOgct7HDhzHWW6CC5k9VybRGsHoU0g1N9XUn/nL0m98P/bVdkrqlKBRJf7n3EUY2ylSo7FcYP+HWiO1aGlg==" saltValue="Cyd9Nh4NsorgVlzcWcaJWw==" spinCount="100000" sheet="1" objects="1" scenarios="1"/>
  <sortState xmlns:xlrd2="http://schemas.microsoft.com/office/spreadsheetml/2017/richdata2" ref="A27:N59">
    <sortCondition descending="1" ref="C27:C59"/>
  </sortState>
  <conditionalFormatting sqref="B141:B159">
    <cfRule type="containsText" dxfId="7" priority="3" operator="containsText" text="VARIANCE">
      <formula>NOT(ISERROR(SEARCH("VARIANCE",B141)))</formula>
    </cfRule>
  </conditionalFormatting>
  <conditionalFormatting sqref="C141:C144">
    <cfRule type="containsText" dxfId="6" priority="1" operator="containsText" text="VARIANCE">
      <formula>NOT(ISERROR(SEARCH("VARIANCE",C141)))</formula>
    </cfRule>
  </conditionalFormatting>
  <conditionalFormatting sqref="I141:L141">
    <cfRule type="containsText" dxfId="5" priority="70" operator="containsText" text="VARIANCE">
      <formula>NOT(ISERROR(SEARCH("VARIANCE",I141)))</formula>
    </cfRule>
  </conditionalFormatting>
  <conditionalFormatting sqref="I145:L145">
    <cfRule type="containsText" dxfId="4" priority="69" operator="containsText" text="VARIANCE">
      <formula>NOT(ISERROR(SEARCH("VARIANCE",I145)))</formula>
    </cfRule>
  </conditionalFormatting>
  <conditionalFormatting sqref="I148:L148">
    <cfRule type="containsText" dxfId="3" priority="68" operator="containsText" text="VARIANCE">
      <formula>NOT(ISERROR(SEARCH("VARIANCE",I148)))</formula>
    </cfRule>
  </conditionalFormatting>
  <conditionalFormatting sqref="I151:L151">
    <cfRule type="containsText" dxfId="2" priority="67" operator="containsText" text="VARIANCE">
      <formula>NOT(ISERROR(SEARCH("VARIANCE",I151)))</formula>
    </cfRule>
  </conditionalFormatting>
  <conditionalFormatting sqref="I154:L154">
    <cfRule type="containsText" dxfId="1" priority="66" operator="containsText" text="VARIANCE">
      <formula>NOT(ISERROR(SEARCH("VARIANCE",I154)))</formula>
    </cfRule>
  </conditionalFormatting>
  <conditionalFormatting sqref="I157:L157">
    <cfRule type="containsText" dxfId="0" priority="65" operator="containsText" text="VARIANCE">
      <formula>NOT(ISERROR(SEARCH("VARIANCE",I157)))</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30:F131" xr:uid="{00000000-0002-0000-02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200-000001000000}">
      <formula1>0.9</formula1>
      <formula2>1.1</formula2>
    </dataValidation>
    <dataValidation type="list" allowBlank="1" showInputMessage="1" showErrorMessage="1" sqref="B10" xr:uid="{00000000-0002-0000-0200-000002000000}">
      <formula1>$A$19:$A$21</formula1>
    </dataValidation>
    <dataValidation type="list" allowBlank="1" showInputMessage="1" showErrorMessage="1" sqref="C142:C144" xr:uid="{00000000-0002-0000-0200-000003000000}">
      <formula1>$F$19:$F$21</formula1>
    </dataValidation>
    <dataValidation type="decimal" errorStyle="warning" allowBlank="1" showInputMessage="1" showErrorMessage="1" errorTitle="VARIANCE REPORT REQUIRED" error="Percentages below 90% or above 110% require an explanation in the VARIANCE REPORT/NOTES column." sqref="M27:M62" xr:uid="{00000000-0002-0000-0200-000004000000}">
      <formula1>0.9</formula1>
      <formula2>1.1</formula2>
    </dataValidation>
    <dataValidation type="list" allowBlank="1" showInputMessage="1" showErrorMessage="1" sqref="C27:C62" xr:uid="{00000000-0002-0000-0200-000005000000}">
      <formula1>$C$19:$C$21</formula1>
    </dataValidation>
  </dataValidations>
  <pageMargins left="0.7" right="0.7" top="0.75" bottom="0.75" header="0.3" footer="0.3"/>
  <pageSetup scale="50" orientation="landscape" r:id="rId1"/>
  <headerFooter>
    <oddFooter>&amp;LCity of Santa Monica
Exhibit C2 - Program Budget&amp;C&amp;P&amp;RFiscal Year 2022-23
Human Services Grants Program</oddFooter>
  </headerFooter>
  <rowBreaks count="2" manualBreakCount="2">
    <brk id="82" max="13" man="1"/>
    <brk id="134" max="13" man="1"/>
  </rowBreaks>
  <ignoredErrors>
    <ignoredError sqref="M6 M10:M11 M7:M9 M12:M13" formula="1"/>
    <ignoredError sqref="L144:L159 L14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50"/>
  <sheetViews>
    <sheetView zoomScale="110" zoomScaleNormal="110" workbookViewId="0">
      <selection activeCell="F1" sqref="F1"/>
    </sheetView>
  </sheetViews>
  <sheetFormatPr defaultColWidth="8.85546875" defaultRowHeight="12.75" x14ac:dyDescent="0.2"/>
  <cols>
    <col min="1" max="1" width="53.7109375" style="312" customWidth="1"/>
    <col min="2" max="2" width="17.28515625" style="313" customWidth="1"/>
    <col min="3" max="4" width="18.140625" style="313" customWidth="1"/>
    <col min="5" max="5" width="17.28515625" style="313" customWidth="1"/>
    <col min="6" max="8" width="17.28515625" style="314" customWidth="1"/>
    <col min="9" max="9" width="14.85546875" style="288" bestFit="1" customWidth="1"/>
    <col min="10" max="16384" width="8.85546875" style="288"/>
  </cols>
  <sheetData>
    <row r="1" spans="1:9" ht="18" x14ac:dyDescent="0.2">
      <c r="A1" s="283" t="s">
        <v>36</v>
      </c>
      <c r="B1" s="284"/>
      <c r="C1" s="285"/>
      <c r="D1" s="286"/>
      <c r="E1" s="287"/>
      <c r="F1" s="288"/>
      <c r="G1" s="288"/>
      <c r="H1" s="288"/>
    </row>
    <row r="2" spans="1:9" ht="18" x14ac:dyDescent="0.2">
      <c r="A2" s="283" t="s">
        <v>200</v>
      </c>
      <c r="B2" s="283"/>
      <c r="C2" s="283"/>
      <c r="D2" s="289"/>
      <c r="E2" s="283"/>
      <c r="F2" s="283"/>
      <c r="G2" s="283"/>
      <c r="H2" s="288"/>
    </row>
    <row r="3" spans="1:9" x14ac:dyDescent="0.2">
      <c r="A3" s="284"/>
      <c r="B3" s="284"/>
      <c r="C3" s="285"/>
      <c r="D3" s="286"/>
      <c r="E3" s="287"/>
      <c r="F3" s="288"/>
      <c r="G3" s="288"/>
      <c r="H3" s="288"/>
    </row>
    <row r="4" spans="1:9" s="293" customFormat="1" ht="18.75" customHeight="1" x14ac:dyDescent="0.2">
      <c r="A4" s="290" t="s">
        <v>201</v>
      </c>
      <c r="B4" s="291" t="s">
        <v>202</v>
      </c>
      <c r="C4" s="292" t="s">
        <v>203</v>
      </c>
      <c r="D4" s="292" t="s">
        <v>204</v>
      </c>
    </row>
    <row r="5" spans="1:9" s="293" customFormat="1" ht="18.75" customHeight="1" x14ac:dyDescent="0.2">
      <c r="A5" s="294" t="s">
        <v>205</v>
      </c>
      <c r="B5" s="295">
        <v>415</v>
      </c>
      <c r="C5" s="296">
        <v>153</v>
      </c>
      <c r="D5" s="297">
        <v>110</v>
      </c>
    </row>
    <row r="6" spans="1:9" s="293" customFormat="1" ht="18.75" customHeight="1" x14ac:dyDescent="0.2">
      <c r="A6" s="298" t="s">
        <v>206</v>
      </c>
      <c r="B6" s="295">
        <v>213</v>
      </c>
      <c r="C6" s="296">
        <v>102</v>
      </c>
      <c r="D6" s="297">
        <v>41</v>
      </c>
    </row>
    <row r="7" spans="1:9" s="293" customFormat="1" ht="14.25" x14ac:dyDescent="0.2">
      <c r="A7" s="299"/>
      <c r="B7" s="299"/>
      <c r="C7" s="300"/>
      <c r="D7" s="299"/>
    </row>
    <row r="8" spans="1:9" s="293" customFormat="1" ht="45" x14ac:dyDescent="0.2">
      <c r="A8" s="301" t="s">
        <v>207</v>
      </c>
      <c r="B8" s="291" t="s">
        <v>202</v>
      </c>
      <c r="C8" s="292" t="s">
        <v>208</v>
      </c>
    </row>
    <row r="9" spans="1:9" s="293" customFormat="1" ht="14.25" x14ac:dyDescent="0.2">
      <c r="A9" s="299"/>
      <c r="B9" s="154">
        <f>IFERROR(('PROGRAM BUDGET &amp; FISCAL REPORT'!G13/'PARTICIPANTS &amp; DEMOGRAPHICS'!B5),"N/A")</f>
        <v>4773.3762293441487</v>
      </c>
      <c r="C9" s="136">
        <f>IFERROR(('PROGRAM BUDGET &amp; FISCAL REPORT'!N13/'PARTICIPANTS &amp; DEMOGRAPHICS'!D5),"N/A")</f>
        <v>16637.32327272727</v>
      </c>
      <c r="D9" s="299"/>
      <c r="F9" s="299"/>
    </row>
    <row r="10" spans="1:9" s="293" customFormat="1" ht="14.25" x14ac:dyDescent="0.2">
      <c r="A10" s="299"/>
      <c r="B10" s="299"/>
      <c r="C10" s="299"/>
      <c r="D10" s="299"/>
      <c r="F10" s="299"/>
      <c r="G10" s="299"/>
      <c r="H10" s="300"/>
      <c r="I10" s="299"/>
    </row>
    <row r="11" spans="1:9" s="293" customFormat="1" ht="14.25" x14ac:dyDescent="0.2">
      <c r="A11" s="299"/>
      <c r="B11" s="299"/>
      <c r="C11" s="300"/>
      <c r="D11" s="299"/>
    </row>
    <row r="12" spans="1:9" s="293" customFormat="1" ht="15" x14ac:dyDescent="0.2">
      <c r="A12" s="302" t="s">
        <v>209</v>
      </c>
      <c r="B12" s="303"/>
      <c r="C12" s="303"/>
      <c r="D12" s="304"/>
    </row>
    <row r="13" spans="1:9" s="293" customFormat="1" ht="15" x14ac:dyDescent="0.2">
      <c r="A13" s="305" t="s">
        <v>210</v>
      </c>
      <c r="B13" s="306"/>
      <c r="C13" s="306"/>
      <c r="D13" s="307"/>
    </row>
    <row r="14" spans="1:9" s="308" customFormat="1" ht="14.25" x14ac:dyDescent="0.2">
      <c r="C14" s="309"/>
    </row>
    <row r="15" spans="1:9" s="308" customFormat="1" ht="15" x14ac:dyDescent="0.2">
      <c r="A15" s="310" t="s">
        <v>211</v>
      </c>
      <c r="C15" s="309"/>
    </row>
    <row r="16" spans="1:9" s="308" customFormat="1" ht="14.25" x14ac:dyDescent="0.2">
      <c r="A16" s="311" t="s">
        <v>212</v>
      </c>
      <c r="C16" s="309"/>
    </row>
    <row r="17" spans="1:3" s="308" customFormat="1" ht="14.25" x14ac:dyDescent="0.2">
      <c r="A17" s="311" t="s">
        <v>213</v>
      </c>
      <c r="C17" s="309"/>
    </row>
    <row r="18" spans="1:3" s="308" customFormat="1" ht="14.25" x14ac:dyDescent="0.2">
      <c r="A18" s="311" t="s">
        <v>214</v>
      </c>
      <c r="C18" s="309"/>
    </row>
    <row r="19" spans="1:3" s="308" customFormat="1" ht="14.25" x14ac:dyDescent="0.2">
      <c r="A19" s="311" t="s">
        <v>215</v>
      </c>
      <c r="C19" s="309"/>
    </row>
    <row r="20" spans="1:3" s="308" customFormat="1" ht="14.25" x14ac:dyDescent="0.2">
      <c r="A20" s="311"/>
      <c r="C20" s="309"/>
    </row>
    <row r="21" spans="1:3" s="309" customFormat="1" ht="15" x14ac:dyDescent="0.2">
      <c r="A21" s="310" t="s">
        <v>216</v>
      </c>
    </row>
    <row r="22" spans="1:3" s="309" customFormat="1" ht="14.25" x14ac:dyDescent="0.2">
      <c r="A22" s="311" t="s">
        <v>217</v>
      </c>
    </row>
    <row r="23" spans="1:3" s="309" customFormat="1" ht="14.25" x14ac:dyDescent="0.2">
      <c r="A23" s="311" t="s">
        <v>218</v>
      </c>
    </row>
    <row r="24" spans="1:3" s="309" customFormat="1" ht="14.25" x14ac:dyDescent="0.2">
      <c r="A24" s="311"/>
    </row>
    <row r="25" spans="1:3" s="309" customFormat="1" ht="15" x14ac:dyDescent="0.2">
      <c r="A25" s="310" t="s">
        <v>219</v>
      </c>
    </row>
    <row r="26" spans="1:3" s="309" customFormat="1" ht="14.25" x14ac:dyDescent="0.2">
      <c r="A26" s="311" t="s">
        <v>220</v>
      </c>
    </row>
    <row r="27" spans="1:3" s="309" customFormat="1" ht="14.25" x14ac:dyDescent="0.2">
      <c r="A27" s="311"/>
    </row>
    <row r="28" spans="1:3" s="309" customFormat="1" ht="15" x14ac:dyDescent="0.2">
      <c r="A28" s="310" t="s">
        <v>221</v>
      </c>
    </row>
    <row r="29" spans="1:3" s="309" customFormat="1" ht="14.25" x14ac:dyDescent="0.2">
      <c r="A29" s="311" t="s">
        <v>222</v>
      </c>
    </row>
    <row r="30" spans="1:3" s="309" customFormat="1" ht="14.25" x14ac:dyDescent="0.2">
      <c r="A30" s="311" t="s">
        <v>223</v>
      </c>
    </row>
    <row r="31" spans="1:3" s="309" customFormat="1" ht="14.25" x14ac:dyDescent="0.2">
      <c r="A31" s="311" t="s">
        <v>224</v>
      </c>
    </row>
    <row r="32" spans="1:3" s="309" customFormat="1" ht="14.25" x14ac:dyDescent="0.2">
      <c r="A32" s="311" t="s">
        <v>225</v>
      </c>
    </row>
    <row r="33" spans="1:3" s="309" customFormat="1" ht="14.25" x14ac:dyDescent="0.2">
      <c r="A33" s="311" t="s">
        <v>226</v>
      </c>
    </row>
    <row r="34" spans="1:3" s="309" customFormat="1" ht="14.25" x14ac:dyDescent="0.2">
      <c r="A34" s="311" t="s">
        <v>227</v>
      </c>
    </row>
    <row r="35" spans="1:3" s="309" customFormat="1" ht="14.25" x14ac:dyDescent="0.2">
      <c r="A35" s="311"/>
    </row>
    <row r="36" spans="1:3" s="309" customFormat="1" ht="15" x14ac:dyDescent="0.2">
      <c r="A36" s="310" t="s">
        <v>228</v>
      </c>
    </row>
    <row r="37" spans="1:3" s="309" customFormat="1" ht="14.25" x14ac:dyDescent="0.2">
      <c r="A37" s="311" t="s">
        <v>229</v>
      </c>
    </row>
    <row r="38" spans="1:3" s="309" customFormat="1" ht="14.25" x14ac:dyDescent="0.2">
      <c r="A38" s="311" t="s">
        <v>230</v>
      </c>
    </row>
    <row r="39" spans="1:3" s="309" customFormat="1" ht="14.25" x14ac:dyDescent="0.2">
      <c r="A39" s="311" t="s">
        <v>231</v>
      </c>
    </row>
    <row r="40" spans="1:3" s="309" customFormat="1" ht="14.25" x14ac:dyDescent="0.2">
      <c r="A40" s="311"/>
    </row>
    <row r="41" spans="1:3" s="308" customFormat="1" ht="15" x14ac:dyDescent="0.2">
      <c r="A41" s="310" t="s">
        <v>232</v>
      </c>
      <c r="C41" s="309"/>
    </row>
    <row r="42" spans="1:3" s="308" customFormat="1" ht="14.25" x14ac:dyDescent="0.2">
      <c r="A42" s="311" t="s">
        <v>233</v>
      </c>
      <c r="C42" s="309"/>
    </row>
    <row r="43" spans="1:3" s="308" customFormat="1" ht="14.25" x14ac:dyDescent="0.2">
      <c r="A43" s="311" t="s">
        <v>234</v>
      </c>
      <c r="C43" s="309"/>
    </row>
    <row r="44" spans="1:3" s="308" customFormat="1" ht="14.25" x14ac:dyDescent="0.2">
      <c r="A44" s="311"/>
      <c r="C44" s="309"/>
    </row>
    <row r="45" spans="1:3" s="308" customFormat="1" ht="15" x14ac:dyDescent="0.2">
      <c r="A45" s="310" t="s">
        <v>235</v>
      </c>
      <c r="C45" s="309"/>
    </row>
    <row r="46" spans="1:3" s="308" customFormat="1" ht="14.25" x14ac:dyDescent="0.2">
      <c r="A46" s="311" t="s">
        <v>236</v>
      </c>
      <c r="C46" s="309"/>
    </row>
    <row r="47" spans="1:3" s="308" customFormat="1" ht="14.25" x14ac:dyDescent="0.2">
      <c r="A47" s="311" t="s">
        <v>237</v>
      </c>
      <c r="C47" s="309"/>
    </row>
    <row r="48" spans="1:3" x14ac:dyDescent="0.2">
      <c r="C48" s="314"/>
    </row>
    <row r="49" spans="1:3" ht="45" x14ac:dyDescent="0.2">
      <c r="A49" s="301" t="s">
        <v>238</v>
      </c>
      <c r="B49" s="291" t="s">
        <v>202</v>
      </c>
      <c r="C49" s="292" t="s">
        <v>208</v>
      </c>
    </row>
    <row r="50" spans="1:3" ht="14.25" x14ac:dyDescent="0.2">
      <c r="A50" s="299"/>
      <c r="B50" s="104" t="str">
        <f>IFERROR(('PROGRAM BUDGET &amp; FISCAL REPORT'!G13/'PARTICIPANTS &amp; DEMOGRAPHICS'!B4),"N/A")</f>
        <v>N/A</v>
      </c>
      <c r="C50" s="104" t="str">
        <f>IFERROR(('PROGRAM BUDGET &amp; FISCAL REPORT'!N13/'PARTICIPANTS &amp; DEMOGRAPHICS'!D4),"N/A")</f>
        <v>N/A</v>
      </c>
    </row>
  </sheetData>
  <sheetProtection algorithmName="SHA-512" hashValue="T0o3Idu3da+rf1oRVN46Kuh7ZdfVeS9KgKd2mgxVGach8XvDQArWxmI5/XS5v1jJvKILppzsmust+uB6x5hJGg==" saltValue="hcEuKSTsIToMNSPD8N8VUA==" spinCount="100000" sheet="1" objects="1" scenarios="1"/>
  <pageMargins left="0.7" right="0.7" top="0.75" bottom="0.75" header="0.3" footer="0.3"/>
  <pageSetup scale="65" orientation="portrait" horizontalDpi="4294967295" verticalDpi="4294967295" r:id="rId1"/>
  <headerFooter>
    <oddFooter>&amp;LCity of Santa Monica
Exhibit C2 - Program Budget&amp;C&amp;P&amp;RFiscal Year 2022-23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40" hidden="1" customWidth="1"/>
    <col min="2" max="2" width="48.85546875" style="40" customWidth="1"/>
    <col min="3" max="3" width="15.42578125" style="36" customWidth="1"/>
    <col min="4" max="4" width="19.140625" style="36" customWidth="1"/>
    <col min="5" max="5" width="19.7109375" style="36" customWidth="1"/>
    <col min="6" max="6" width="19.42578125" style="36" customWidth="1"/>
    <col min="7" max="7" width="31.42578125" style="36" customWidth="1"/>
    <col min="8" max="16384" width="11.42578125" style="40"/>
  </cols>
  <sheetData>
    <row r="1" spans="1:8" ht="18" x14ac:dyDescent="0.25">
      <c r="A1" s="20"/>
      <c r="B1" s="29" t="s">
        <v>36</v>
      </c>
      <c r="C1" s="40"/>
      <c r="D1" s="40"/>
      <c r="E1" s="40"/>
      <c r="F1" s="40"/>
      <c r="G1" s="40"/>
    </row>
    <row r="2" spans="1:8" ht="18" x14ac:dyDescent="0.25">
      <c r="A2" s="20"/>
      <c r="B2" s="29" t="s">
        <v>239</v>
      </c>
      <c r="C2" s="40"/>
      <c r="D2" s="40"/>
      <c r="E2" s="40"/>
      <c r="F2" s="40"/>
      <c r="G2" s="40"/>
    </row>
    <row r="3" spans="1:8" ht="22.5" customHeight="1" x14ac:dyDescent="0.25">
      <c r="A3" s="20"/>
      <c r="B3" s="158" t="str">
        <f>'PROGRAM BUDGET &amp; FISCAL REPORT'!A6</f>
        <v>AGENCY NAME:</v>
      </c>
      <c r="C3" s="105" t="str">
        <f>'PROGRAM BUDGET &amp; FISCAL REPORT'!B6</f>
        <v>The People Concern</v>
      </c>
      <c r="D3" s="106"/>
      <c r="E3" s="106"/>
      <c r="F3" s="106"/>
      <c r="G3" s="40"/>
    </row>
    <row r="4" spans="1:8" ht="22.5" customHeight="1" x14ac:dyDescent="0.25">
      <c r="A4" s="20"/>
      <c r="B4" s="158" t="str">
        <f>'PROGRAM BUDGET &amp; FISCAL REPORT'!A7</f>
        <v>PROGRAM NAME:</v>
      </c>
      <c r="C4" s="107" t="str">
        <f>'PROGRAM BUDGET &amp; FISCAL REPORT'!B7</f>
        <v>Cloverfield Services Center</v>
      </c>
      <c r="D4" s="108"/>
      <c r="E4" s="108"/>
      <c r="F4" s="108"/>
      <c r="G4" s="40"/>
    </row>
    <row r="5" spans="1:8" ht="8.25" customHeight="1" thickBot="1" x14ac:dyDescent="0.25">
      <c r="A5" s="20"/>
      <c r="B5" s="161"/>
      <c r="C5" s="40"/>
      <c r="D5" s="40"/>
      <c r="E5" s="40"/>
      <c r="F5" s="40"/>
      <c r="G5" s="40"/>
    </row>
    <row r="6" spans="1:8" ht="52.5" customHeight="1" x14ac:dyDescent="0.55000000000000004">
      <c r="B6" s="42" t="s">
        <v>240</v>
      </c>
      <c r="C6" s="43" t="s">
        <v>241</v>
      </c>
      <c r="D6" s="43"/>
      <c r="E6" s="43" t="s">
        <v>242</v>
      </c>
      <c r="F6" s="44"/>
      <c r="G6" s="40"/>
    </row>
    <row r="7" spans="1:8" ht="14.25" x14ac:dyDescent="0.2">
      <c r="B7" s="45" t="s">
        <v>243</v>
      </c>
      <c r="C7" s="46">
        <f>'PARTICIPANTS &amp; DEMOGRAPHICS'!B5</f>
        <v>415</v>
      </c>
      <c r="D7" s="47"/>
      <c r="E7" s="47">
        <f>'PARTICIPANTS &amp; DEMOGRAPHICS'!D5</f>
        <v>110</v>
      </c>
      <c r="F7" s="48"/>
      <c r="G7" s="40"/>
    </row>
    <row r="8" spans="1:8" ht="14.25" x14ac:dyDescent="0.2">
      <c r="B8" s="49" t="s">
        <v>244</v>
      </c>
      <c r="C8" s="46">
        <f>'PARTICIPANTS &amp; DEMOGRAPHICS'!B6</f>
        <v>213</v>
      </c>
      <c r="D8" s="47"/>
      <c r="E8" s="47">
        <f>'PARTICIPANTS &amp; DEMOGRAPHICS'!D6</f>
        <v>41</v>
      </c>
      <c r="F8" s="48"/>
      <c r="G8" s="40"/>
    </row>
    <row r="9" spans="1:8" ht="14.25" x14ac:dyDescent="0.2">
      <c r="B9" s="45" t="s">
        <v>245</v>
      </c>
      <c r="C9" s="70">
        <f>IFERROR(C8/C7, "N/A")</f>
        <v>0.51325301204819274</v>
      </c>
      <c r="D9" s="51"/>
      <c r="E9" s="114">
        <f>IFERROR(E8/E7, "N/A")</f>
        <v>0.37272727272727274</v>
      </c>
      <c r="F9" s="48"/>
      <c r="G9" s="40"/>
    </row>
    <row r="10" spans="1:8" ht="14.25" x14ac:dyDescent="0.2">
      <c r="B10" s="45"/>
      <c r="C10" s="50"/>
      <c r="D10" s="51"/>
      <c r="E10" s="46"/>
      <c r="F10" s="48"/>
      <c r="G10" s="40"/>
    </row>
    <row r="11" spans="1:8" ht="63.75" customHeight="1" x14ac:dyDescent="0.55000000000000004">
      <c r="B11" s="52" t="s">
        <v>246</v>
      </c>
      <c r="C11" s="159" t="s">
        <v>247</v>
      </c>
      <c r="D11" s="159" t="s">
        <v>248</v>
      </c>
      <c r="E11" s="159" t="s">
        <v>249</v>
      </c>
      <c r="F11" s="160" t="s">
        <v>250</v>
      </c>
      <c r="G11" s="40"/>
    </row>
    <row r="12" spans="1:8" ht="16.5" customHeight="1" x14ac:dyDescent="0.2">
      <c r="B12" s="45" t="s">
        <v>251</v>
      </c>
      <c r="C12" s="109">
        <f>'PROGRAM BUDGET &amp; FISCAL REPORT'!G13</f>
        <v>1980951.1351778216</v>
      </c>
      <c r="D12" s="109">
        <f>'PROGRAM BUDGET &amp; FISCAL REPORT'!H13</f>
        <v>377532.18409796001</v>
      </c>
      <c r="E12" s="109">
        <f>'PROGRAM BUDGET &amp; FISCAL REPORT'!N13</f>
        <v>1830105.5599999998</v>
      </c>
      <c r="F12" s="110">
        <f>'PROGRAM BUDGET &amp; FISCAL REPORT'!L13</f>
        <v>377532.14356972004</v>
      </c>
      <c r="G12" s="40"/>
    </row>
    <row r="13" spans="1:8" ht="16.5" customHeight="1" x14ac:dyDescent="0.2">
      <c r="B13" s="45"/>
      <c r="C13" s="53"/>
      <c r="D13" s="53"/>
      <c r="E13" s="53"/>
      <c r="F13" s="54"/>
      <c r="G13" s="40"/>
    </row>
    <row r="14" spans="1:8" ht="19.5" x14ac:dyDescent="0.55000000000000004">
      <c r="B14" s="52" t="s">
        <v>252</v>
      </c>
      <c r="C14" s="324" t="s">
        <v>253</v>
      </c>
      <c r="D14" s="324"/>
      <c r="E14" s="324" t="s">
        <v>254</v>
      </c>
      <c r="F14" s="325"/>
      <c r="G14" s="40"/>
    </row>
    <row r="15" spans="1:8" ht="14.25" x14ac:dyDescent="0.2">
      <c r="B15" s="45" t="s">
        <v>255</v>
      </c>
      <c r="C15" s="111">
        <f>IFERROR(C12*C9,"N/A")</f>
        <v>1016729.1368503035</v>
      </c>
      <c r="D15" s="55">
        <f>IFERROR(C15/C12,"N/A")</f>
        <v>0.51325301204819274</v>
      </c>
      <c r="E15" s="112">
        <f>IFERROR(E12*E9,"N/A")</f>
        <v>682130.25418181811</v>
      </c>
      <c r="F15" s="57">
        <f>IFERROR(E15/E12,"N/A")</f>
        <v>0.37272727272727274</v>
      </c>
      <c r="G15" s="40"/>
    </row>
    <row r="16" spans="1:8" ht="14.25" x14ac:dyDescent="0.2">
      <c r="B16" s="45" t="s">
        <v>256</v>
      </c>
      <c r="C16" s="111">
        <f>D12</f>
        <v>377532.18409796001</v>
      </c>
      <c r="D16" s="55">
        <f>IFERROR(C16/C15, "N/A")</f>
        <v>0.37132031572096608</v>
      </c>
      <c r="E16" s="112">
        <f>F12</f>
        <v>377532.14356972004</v>
      </c>
      <c r="F16" s="57">
        <f>IFERROR(E16/E15, "N/A")</f>
        <v>0.55346048830886618</v>
      </c>
      <c r="G16" s="40"/>
      <c r="H16" s="41"/>
    </row>
    <row r="17" spans="2:7" ht="15" thickBot="1" x14ac:dyDescent="0.25">
      <c r="B17" s="45"/>
      <c r="C17" s="30"/>
      <c r="D17" s="55"/>
      <c r="E17" s="56"/>
      <c r="F17" s="57"/>
      <c r="G17" s="40"/>
    </row>
    <row r="18" spans="2:7" ht="15.75" thickBot="1" x14ac:dyDescent="0.3">
      <c r="B18" s="58" t="s">
        <v>257</v>
      </c>
      <c r="C18" s="113">
        <f>IFERROR(C15-C16,"N/A")</f>
        <v>639196.9527523435</v>
      </c>
      <c r="D18" s="59">
        <f>IFERROR(C18/C15, "N/A")</f>
        <v>0.62867968427903398</v>
      </c>
      <c r="E18" s="113">
        <f>IFERROR(E15-E16, "N/A")</f>
        <v>304598.11061209807</v>
      </c>
      <c r="F18" s="60">
        <f>IFERROR(E18/E15, "N/A")</f>
        <v>0.44653951169113387</v>
      </c>
      <c r="G18" s="40"/>
    </row>
    <row r="19" spans="2:7" ht="30.75" thickBot="1" x14ac:dyDescent="0.3">
      <c r="B19" s="45"/>
      <c r="C19" s="61"/>
      <c r="D19" s="62" t="s">
        <v>258</v>
      </c>
      <c r="E19" s="47"/>
      <c r="F19" s="62" t="s">
        <v>258</v>
      </c>
    </row>
    <row r="20" spans="2:7" s="1" customFormat="1" ht="12.75" x14ac:dyDescent="0.2">
      <c r="B20" s="40"/>
      <c r="C20" s="36"/>
      <c r="D20" s="36"/>
      <c r="E20" s="36"/>
      <c r="F20" s="36"/>
      <c r="G20" s="36"/>
    </row>
  </sheetData>
  <sheetProtection algorithmName="SHA-512" hashValue="MWyn/ukwcYRlgFP3/eXg1mSepbLLhq4UReee6jATSYk/A/Rm/+5ybDbAbmcupnGIjky3FITGDDP+RlZri4R2GA==" saltValue="RpVOkBhXuPSVJAvewIzUiw=="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C2 - Program Budget&amp;C&amp;P&amp;RFiscal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G55"/>
  <sheetViews>
    <sheetView zoomScaleNormal="100" workbookViewId="0">
      <selection activeCell="E1" sqref="E1"/>
    </sheetView>
  </sheetViews>
  <sheetFormatPr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7" s="37" customFormat="1" ht="18" x14ac:dyDescent="0.2">
      <c r="A1" s="38" t="s">
        <v>36</v>
      </c>
      <c r="B1" s="71"/>
      <c r="C1" s="39"/>
      <c r="D1" s="39"/>
      <c r="E1" s="39"/>
      <c r="F1" s="21"/>
      <c r="G1" s="21"/>
    </row>
    <row r="2" spans="1:7" ht="18" x14ac:dyDescent="0.25">
      <c r="A2" s="326" t="s">
        <v>259</v>
      </c>
      <c r="B2" s="327"/>
      <c r="C2" s="327"/>
      <c r="D2" s="327"/>
      <c r="E2" s="327"/>
      <c r="F2" s="157"/>
      <c r="G2" s="157"/>
    </row>
    <row r="3" spans="1:7" ht="15.75" x14ac:dyDescent="0.2">
      <c r="A3" s="115"/>
      <c r="B3" s="157"/>
      <c r="C3" s="157"/>
      <c r="D3" s="157"/>
      <c r="E3" s="157"/>
      <c r="F3" s="157"/>
      <c r="G3" s="157"/>
    </row>
    <row r="4" spans="1:7" ht="79.5" customHeight="1" x14ac:dyDescent="0.2">
      <c r="A4" s="328" t="s">
        <v>260</v>
      </c>
      <c r="B4" s="329"/>
      <c r="C4" s="329"/>
      <c r="D4" s="329"/>
      <c r="E4" s="329"/>
      <c r="F4" s="157"/>
      <c r="G4" s="157"/>
    </row>
    <row r="5" spans="1:7" ht="15" x14ac:dyDescent="0.2">
      <c r="A5" s="116"/>
      <c r="B5" s="117"/>
      <c r="C5" s="117"/>
      <c r="D5" s="117"/>
      <c r="E5" s="117"/>
      <c r="F5" s="157"/>
      <c r="G5" s="157"/>
    </row>
    <row r="6" spans="1:7" ht="45" x14ac:dyDescent="0.25">
      <c r="A6" s="330" t="s">
        <v>261</v>
      </c>
      <c r="B6" s="331"/>
      <c r="C6" s="162" t="s">
        <v>262</v>
      </c>
      <c r="D6" s="162" t="s">
        <v>263</v>
      </c>
      <c r="E6" s="118" t="s">
        <v>264</v>
      </c>
      <c r="F6" s="157"/>
      <c r="G6" s="157"/>
    </row>
    <row r="7" spans="1:7" ht="15" x14ac:dyDescent="0.25">
      <c r="A7" s="119" t="s">
        <v>265</v>
      </c>
      <c r="B7" s="120"/>
      <c r="C7" s="119"/>
      <c r="D7" s="119"/>
      <c r="E7" s="119"/>
      <c r="F7" s="157"/>
      <c r="G7" s="157"/>
    </row>
    <row r="8" spans="1:7" ht="15" x14ac:dyDescent="0.25">
      <c r="A8" s="121" t="s">
        <v>60</v>
      </c>
      <c r="B8" s="121" t="s">
        <v>266</v>
      </c>
      <c r="C8" s="122">
        <v>10000</v>
      </c>
      <c r="D8" s="122">
        <v>15000</v>
      </c>
      <c r="E8" s="119"/>
      <c r="F8" s="157"/>
      <c r="G8" s="157"/>
    </row>
    <row r="9" spans="1:7" ht="15" x14ac:dyDescent="0.25">
      <c r="A9" s="123"/>
      <c r="B9" s="124"/>
      <c r="C9" s="124"/>
      <c r="D9" s="157"/>
      <c r="E9" s="125"/>
      <c r="F9" s="157"/>
      <c r="G9" s="157"/>
    </row>
    <row r="10" spans="1:7" ht="15" x14ac:dyDescent="0.25">
      <c r="A10" s="332" t="s">
        <v>185</v>
      </c>
      <c r="B10" s="333"/>
      <c r="C10" s="333"/>
      <c r="D10" s="333"/>
      <c r="E10" s="333"/>
      <c r="F10" s="157"/>
      <c r="G10" s="157"/>
    </row>
    <row r="11" spans="1:7" ht="14.25" x14ac:dyDescent="0.2">
      <c r="A11" s="126" t="s">
        <v>267</v>
      </c>
      <c r="B11" s="126" t="s">
        <v>268</v>
      </c>
      <c r="C11" s="135">
        <v>25972852.403999999</v>
      </c>
      <c r="D11" s="135">
        <v>27049401</v>
      </c>
      <c r="E11" s="127"/>
      <c r="F11" s="157"/>
      <c r="G11" s="157"/>
    </row>
    <row r="12" spans="1:7" ht="14.25" x14ac:dyDescent="0.2">
      <c r="A12" s="126" t="s">
        <v>269</v>
      </c>
      <c r="B12" s="126" t="s">
        <v>270</v>
      </c>
      <c r="C12" s="135">
        <v>19014254.899999999</v>
      </c>
      <c r="D12" s="135">
        <v>19479447.5</v>
      </c>
      <c r="E12" s="127"/>
      <c r="F12" s="157"/>
      <c r="G12" s="157"/>
    </row>
    <row r="13" spans="1:7" ht="14.25" x14ac:dyDescent="0.2">
      <c r="A13" s="126" t="s">
        <v>267</v>
      </c>
      <c r="B13" s="126" t="s">
        <v>271</v>
      </c>
      <c r="C13" s="135">
        <v>9262121.9099999983</v>
      </c>
      <c r="D13" s="135">
        <v>12657151</v>
      </c>
      <c r="E13" s="127"/>
      <c r="F13" s="157"/>
      <c r="G13" s="157"/>
    </row>
    <row r="14" spans="1:7" ht="14.25" x14ac:dyDescent="0.2">
      <c r="A14" s="126" t="s">
        <v>272</v>
      </c>
      <c r="B14" s="126" t="s">
        <v>273</v>
      </c>
      <c r="C14" s="135">
        <v>2141086.92</v>
      </c>
      <c r="D14" s="135">
        <v>2141087</v>
      </c>
      <c r="E14" s="127"/>
      <c r="F14" s="157"/>
      <c r="G14" s="157"/>
    </row>
    <row r="15" spans="1:7" ht="14.25" x14ac:dyDescent="0.2">
      <c r="A15" s="126" t="s">
        <v>60</v>
      </c>
      <c r="B15" s="126" t="s">
        <v>274</v>
      </c>
      <c r="C15" s="135">
        <v>689943.6</v>
      </c>
      <c r="D15" s="135">
        <v>786956</v>
      </c>
      <c r="E15" s="127"/>
      <c r="F15" s="157"/>
      <c r="G15" s="157"/>
    </row>
    <row r="16" spans="1:7" ht="14.25" x14ac:dyDescent="0.2">
      <c r="A16" s="126" t="s">
        <v>272</v>
      </c>
      <c r="B16" s="126" t="s">
        <v>275</v>
      </c>
      <c r="C16" s="135">
        <v>540494.10400000005</v>
      </c>
      <c r="D16" s="135">
        <v>656800</v>
      </c>
      <c r="E16" s="127"/>
      <c r="F16" s="157"/>
      <c r="G16" s="157"/>
    </row>
    <row r="17" spans="1:5" ht="14.25" x14ac:dyDescent="0.2">
      <c r="A17" s="126" t="s">
        <v>272</v>
      </c>
      <c r="B17" s="126" t="s">
        <v>276</v>
      </c>
      <c r="C17" s="135">
        <v>507697.76399999997</v>
      </c>
      <c r="D17" s="135">
        <v>628500</v>
      </c>
      <c r="E17" s="127"/>
    </row>
    <row r="18" spans="1:5" ht="14.25" x14ac:dyDescent="0.2">
      <c r="A18" s="126" t="s">
        <v>272</v>
      </c>
      <c r="B18" s="126" t="s">
        <v>277</v>
      </c>
      <c r="C18" s="135">
        <v>528537.14199999999</v>
      </c>
      <c r="D18" s="135">
        <v>611928.66666666674</v>
      </c>
      <c r="E18" s="127"/>
    </row>
    <row r="19" spans="1:5" ht="14.25" x14ac:dyDescent="0.2">
      <c r="A19" s="126" t="s">
        <v>57</v>
      </c>
      <c r="B19" s="126" t="s">
        <v>278</v>
      </c>
      <c r="C19" s="135">
        <v>205500</v>
      </c>
      <c r="D19" s="135">
        <v>500000</v>
      </c>
      <c r="E19" s="127"/>
    </row>
    <row r="20" spans="1:5" ht="14.25" x14ac:dyDescent="0.2">
      <c r="A20" s="126" t="s">
        <v>279</v>
      </c>
      <c r="B20" s="126" t="s">
        <v>280</v>
      </c>
      <c r="C20" s="135">
        <v>104682</v>
      </c>
      <c r="D20" s="135">
        <v>470416</v>
      </c>
      <c r="E20" s="127"/>
    </row>
    <row r="21" spans="1:5" ht="14.25" x14ac:dyDescent="0.2">
      <c r="A21" s="126" t="s">
        <v>272</v>
      </c>
      <c r="B21" s="126" t="s">
        <v>281</v>
      </c>
      <c r="C21" s="135">
        <v>285985.06</v>
      </c>
      <c r="D21" s="135">
        <v>355000</v>
      </c>
      <c r="E21" s="127"/>
    </row>
    <row r="22" spans="1:5" ht="14.25" x14ac:dyDescent="0.2">
      <c r="A22" s="126" t="s">
        <v>57</v>
      </c>
      <c r="B22" s="126" t="s">
        <v>282</v>
      </c>
      <c r="C22" s="135">
        <v>86597.6</v>
      </c>
      <c r="D22" s="135">
        <v>108838</v>
      </c>
      <c r="E22" s="127"/>
    </row>
    <row r="23" spans="1:5" ht="14.25" x14ac:dyDescent="0.2">
      <c r="A23" s="126" t="s">
        <v>283</v>
      </c>
      <c r="B23" s="126" t="s">
        <v>284</v>
      </c>
      <c r="C23" s="135">
        <v>94195.920000000013</v>
      </c>
      <c r="D23" s="135">
        <v>104302</v>
      </c>
      <c r="E23" s="127"/>
    </row>
    <row r="24" spans="1:5" ht="14.25" x14ac:dyDescent="0.2">
      <c r="A24" s="126" t="s">
        <v>267</v>
      </c>
      <c r="B24" s="126" t="s">
        <v>285</v>
      </c>
      <c r="C24" s="135">
        <v>51800.399999999994</v>
      </c>
      <c r="D24" s="135">
        <v>82000</v>
      </c>
      <c r="E24" s="127"/>
    </row>
    <row r="25" spans="1:5" ht="14.25" x14ac:dyDescent="0.2">
      <c r="A25" s="126" t="s">
        <v>267</v>
      </c>
      <c r="B25" s="126" t="s">
        <v>286</v>
      </c>
      <c r="C25" s="135">
        <v>78912</v>
      </c>
      <c r="D25" s="135">
        <v>78912</v>
      </c>
      <c r="E25" s="127"/>
    </row>
    <row r="26" spans="1:5" ht="14.25" x14ac:dyDescent="0.2">
      <c r="A26" s="126" t="s">
        <v>283</v>
      </c>
      <c r="B26" s="126" t="s">
        <v>287</v>
      </c>
      <c r="C26" s="135">
        <v>175825.16</v>
      </c>
      <c r="D26" s="135">
        <v>98300</v>
      </c>
      <c r="E26" s="128"/>
    </row>
    <row r="27" spans="1:5" ht="14.25" x14ac:dyDescent="0.2">
      <c r="A27" s="129"/>
      <c r="B27" s="129"/>
      <c r="C27" s="129"/>
      <c r="D27" s="130"/>
      <c r="E27" s="131"/>
    </row>
    <row r="28" spans="1:5" ht="15" x14ac:dyDescent="0.25">
      <c r="A28" s="332" t="s">
        <v>189</v>
      </c>
      <c r="B28" s="333"/>
      <c r="C28" s="333"/>
      <c r="D28" s="333"/>
      <c r="E28" s="333"/>
    </row>
    <row r="29" spans="1:5" ht="28.5" x14ac:dyDescent="0.2">
      <c r="A29" s="157"/>
      <c r="B29" s="126" t="s">
        <v>288</v>
      </c>
      <c r="C29" s="135">
        <v>9291381.8800000008</v>
      </c>
      <c r="D29" s="135">
        <v>5284807</v>
      </c>
      <c r="E29" s="155" t="s">
        <v>289</v>
      </c>
    </row>
    <row r="30" spans="1:5" ht="14.25" x14ac:dyDescent="0.2">
      <c r="A30" s="157"/>
      <c r="B30" s="126"/>
      <c r="C30" s="135"/>
      <c r="D30" s="135"/>
      <c r="E30" s="128"/>
    </row>
    <row r="31" spans="1:5" ht="14.25" x14ac:dyDescent="0.2">
      <c r="A31" s="129"/>
      <c r="B31" s="129"/>
      <c r="C31" s="129"/>
      <c r="D31" s="130"/>
      <c r="E31" s="131"/>
    </row>
    <row r="32" spans="1:5" ht="15" x14ac:dyDescent="0.25">
      <c r="A32" s="332" t="s">
        <v>191</v>
      </c>
      <c r="B32" s="333"/>
      <c r="C32" s="333"/>
      <c r="D32" s="333"/>
      <c r="E32" s="333"/>
    </row>
    <row r="33" spans="1:5" ht="14.25" x14ac:dyDescent="0.2">
      <c r="A33" s="157"/>
      <c r="B33" s="126" t="s">
        <v>192</v>
      </c>
      <c r="C33" s="135">
        <v>3270324.75</v>
      </c>
      <c r="D33" s="135">
        <v>4610750</v>
      </c>
      <c r="E33" s="127"/>
    </row>
    <row r="34" spans="1:5" ht="14.25" x14ac:dyDescent="0.2">
      <c r="A34" s="157"/>
      <c r="B34" s="126"/>
      <c r="C34" s="135"/>
      <c r="D34" s="135"/>
      <c r="E34" s="128"/>
    </row>
    <row r="35" spans="1:5" ht="14.25" x14ac:dyDescent="0.2">
      <c r="A35" s="129"/>
      <c r="B35" s="129"/>
      <c r="C35" s="129"/>
      <c r="D35" s="130"/>
      <c r="E35" s="131"/>
    </row>
    <row r="36" spans="1:5" ht="15" x14ac:dyDescent="0.25">
      <c r="A36" s="332" t="s">
        <v>193</v>
      </c>
      <c r="B36" s="333"/>
      <c r="C36" s="333"/>
      <c r="D36" s="333"/>
      <c r="E36" s="333"/>
    </row>
    <row r="37" spans="1:5" ht="14.25" x14ac:dyDescent="0.2">
      <c r="A37" s="157"/>
      <c r="B37" s="126" t="s">
        <v>178</v>
      </c>
      <c r="C37" s="135">
        <v>0</v>
      </c>
      <c r="D37" s="135">
        <v>0</v>
      </c>
      <c r="E37" s="127"/>
    </row>
    <row r="38" spans="1:5" ht="14.25" x14ac:dyDescent="0.2">
      <c r="A38" s="157"/>
      <c r="B38" s="126" t="s">
        <v>178</v>
      </c>
      <c r="C38" s="135">
        <v>0</v>
      </c>
      <c r="D38" s="135">
        <v>0</v>
      </c>
      <c r="E38" s="128"/>
    </row>
    <row r="39" spans="1:5" ht="14.25" x14ac:dyDescent="0.2">
      <c r="A39" s="129"/>
      <c r="B39" s="129"/>
      <c r="C39" s="129"/>
      <c r="D39" s="130"/>
      <c r="E39" s="131"/>
    </row>
    <row r="40" spans="1:5" ht="15" x14ac:dyDescent="0.25">
      <c r="A40" s="332" t="s">
        <v>194</v>
      </c>
      <c r="B40" s="333"/>
      <c r="C40" s="333"/>
      <c r="D40" s="333"/>
      <c r="E40" s="333"/>
    </row>
    <row r="41" spans="1:5" ht="14.25" x14ac:dyDescent="0.2">
      <c r="A41" s="157"/>
      <c r="B41" s="126" t="s">
        <v>178</v>
      </c>
      <c r="C41" s="135">
        <v>0</v>
      </c>
      <c r="D41" s="135">
        <v>0</v>
      </c>
      <c r="E41" s="127"/>
    </row>
    <row r="42" spans="1:5" ht="14.25" x14ac:dyDescent="0.2">
      <c r="A42" s="157"/>
      <c r="B42" s="126" t="s">
        <v>178</v>
      </c>
      <c r="C42" s="135">
        <v>0</v>
      </c>
      <c r="D42" s="135">
        <v>0</v>
      </c>
      <c r="E42" s="128"/>
    </row>
    <row r="43" spans="1:5" ht="14.25" x14ac:dyDescent="0.2">
      <c r="A43" s="129"/>
      <c r="B43" s="129"/>
      <c r="C43" s="129"/>
      <c r="D43" s="130"/>
      <c r="E43" s="131"/>
    </row>
    <row r="44" spans="1:5" ht="15" x14ac:dyDescent="0.25">
      <c r="A44" s="332" t="s">
        <v>195</v>
      </c>
      <c r="B44" s="333"/>
      <c r="C44" s="333"/>
      <c r="D44" s="333"/>
      <c r="E44" s="333"/>
    </row>
    <row r="45" spans="1:5" ht="14.25" x14ac:dyDescent="0.2">
      <c r="A45" s="157"/>
      <c r="B45" s="126" t="s">
        <v>290</v>
      </c>
      <c r="C45" s="135">
        <v>-141314.50000000009</v>
      </c>
      <c r="D45" s="135">
        <v>104227</v>
      </c>
      <c r="E45" s="127"/>
    </row>
    <row r="46" spans="1:5" ht="14.25" x14ac:dyDescent="0.2">
      <c r="A46" s="157"/>
      <c r="B46" s="126" t="s">
        <v>291</v>
      </c>
      <c r="C46" s="135">
        <v>616565.96</v>
      </c>
      <c r="D46" s="135">
        <v>868712</v>
      </c>
      <c r="E46" s="127"/>
    </row>
    <row r="47" spans="1:5" ht="14.25" x14ac:dyDescent="0.2">
      <c r="A47" s="157"/>
      <c r="B47" s="126" t="s">
        <v>292</v>
      </c>
      <c r="C47" s="135">
        <v>416472</v>
      </c>
      <c r="D47" s="135">
        <v>420000</v>
      </c>
      <c r="E47" s="128"/>
    </row>
    <row r="48" spans="1:5" ht="28.5" x14ac:dyDescent="0.2">
      <c r="A48" s="157"/>
      <c r="B48" s="126" t="s">
        <v>293</v>
      </c>
      <c r="C48" s="135">
        <v>5692144</v>
      </c>
      <c r="D48" s="135">
        <v>0</v>
      </c>
      <c r="E48" s="156" t="s">
        <v>294</v>
      </c>
    </row>
    <row r="49" spans="1:5" ht="14.25" x14ac:dyDescent="0.2">
      <c r="A49" s="157"/>
      <c r="B49" s="126" t="s">
        <v>295</v>
      </c>
      <c r="C49" s="135">
        <v>150437.87999999998</v>
      </c>
      <c r="D49" s="135">
        <v>32484</v>
      </c>
      <c r="E49" s="128"/>
    </row>
    <row r="50" spans="1:5" ht="14.25" x14ac:dyDescent="0.2">
      <c r="A50" s="157"/>
      <c r="B50" s="126" t="s">
        <v>296</v>
      </c>
      <c r="C50" s="135">
        <v>226120</v>
      </c>
      <c r="D50" s="135">
        <v>500000</v>
      </c>
      <c r="E50" s="127"/>
    </row>
    <row r="51" spans="1:5" ht="14.25" x14ac:dyDescent="0.2">
      <c r="A51" s="157"/>
      <c r="B51" s="126"/>
      <c r="C51" s="135"/>
      <c r="D51" s="135"/>
      <c r="E51" s="128"/>
    </row>
    <row r="52" spans="1:5" x14ac:dyDescent="0.2">
      <c r="A52" s="132"/>
      <c r="B52" s="132"/>
      <c r="C52" s="132"/>
      <c r="D52" s="132"/>
      <c r="E52" s="133"/>
    </row>
    <row r="53" spans="1:5" ht="15" x14ac:dyDescent="0.25">
      <c r="A53" s="332" t="s">
        <v>196</v>
      </c>
      <c r="B53" s="332"/>
      <c r="C53" s="142">
        <f>SUM(C10:C52)</f>
        <v>79262618.853999987</v>
      </c>
      <c r="D53" s="142">
        <f>SUM(D10:D52)</f>
        <v>77630019.166666657</v>
      </c>
      <c r="E53" s="143"/>
    </row>
    <row r="54" spans="1:5" x14ac:dyDescent="0.2">
      <c r="A54" s="134"/>
      <c r="B54" s="134"/>
      <c r="C54" s="134"/>
      <c r="D54" s="134"/>
      <c r="E54" s="134"/>
    </row>
    <row r="55" spans="1:5" x14ac:dyDescent="0.2">
      <c r="A55" s="334"/>
      <c r="B55" s="333"/>
      <c r="C55" s="333"/>
      <c r="D55" s="333"/>
      <c r="E55" s="333"/>
    </row>
  </sheetData>
  <sheetProtection algorithmName="SHA-512" hashValue="mA8S+IOfD1R429h9htdKz3PqW2KPdEG5WV46V/ZY7lhpsQvKgvR5/RWgobzGr/M0LN134AzH7yTUhOTIPd1OnQ==" saltValue="Ey/8tTb4ykAwEnA5p3ecuw==" spinCount="100000" sheet="1" objects="1" scenarios="1"/>
  <mergeCells count="11">
    <mergeCell ref="A55:E55"/>
    <mergeCell ref="A44:E44"/>
    <mergeCell ref="A53:B53"/>
    <mergeCell ref="A28:E28"/>
    <mergeCell ref="A40:E40"/>
    <mergeCell ref="A36:E36"/>
    <mergeCell ref="A2:E2"/>
    <mergeCell ref="A4:E4"/>
    <mergeCell ref="A6:B6"/>
    <mergeCell ref="A10:E10"/>
    <mergeCell ref="A32:E32"/>
  </mergeCells>
  <pageMargins left="0.7" right="0.7" top="0.75" bottom="0.75" header="0.3" footer="0.3"/>
  <pageSetup scale="76" firstPageNumber="8" orientation="portrait" r:id="rId1"/>
  <headerFooter>
    <oddFooter>&amp;LCity of Santa Monica
Exhibit C2 - Program Budget&amp;C&amp;P&amp;RFiscal Year 2022-23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Robyn Kupferman</DisplayName>
        <AccountId>199</AccountId>
        <AccountType/>
      </UserInfo>
      <UserInfo>
        <DisplayName>Brian Hardgrave</DisplayName>
        <AccountId>63</AccountId>
        <AccountType/>
      </UserInfo>
      <UserInfo>
        <DisplayName>Marc Amaral</DisplayName>
        <AccountId>26</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2.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3.xml><?xml version="1.0" encoding="utf-8"?>
<ds:datastoreItem xmlns:ds="http://schemas.openxmlformats.org/officeDocument/2006/customXml" ds:itemID="{574F34BD-2FAD-4F6B-974D-AFB5D946B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48728A-3ABE-4BE2-8186-96DCFA2F47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PROGRAM BUDGET &amp; FISCAL REPORT</vt:lpstr>
      <vt:lpstr>PARTICIPANTS &amp; DEMOGRAPHICS</vt:lpstr>
      <vt:lpstr>CASH MATCH</vt:lpstr>
      <vt:lpstr>AGENCY FUNDING SOURCES</vt:lpstr>
      <vt:lpstr>'AGENCY FUNDING SOURCES'!Print_Area</vt:lpstr>
      <vt:lpstr>'PARTICIPANTS &amp; DEMOGRAPHICS'!Print_Area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2023-11-28T00:14:25Z</cp:lastPrinted>
  <dcterms:created xsi:type="dcterms:W3CDTF">1999-10-15T17:33:56Z</dcterms:created>
  <dcterms:modified xsi:type="dcterms:W3CDTF">2023-11-28T00:18:20Z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b59efe5c2bdb4be280cd2180b6581de2</vt:lpwstr>
  </property>
  <property fmtid="{D5CDD505-2E9C-101B-9397-08002B2CF9AE}" pid="11" name="MediaServiceImageTags">
    <vt:lpwstr/>
  </property>
</Properties>
</file>