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57" documentId="13_ncr:1_{554A8E96-F87D-4C23-AE8E-1EDB79B9BF63}" xr6:coauthVersionLast="46" xr6:coauthVersionMax="47" xr10:uidLastSave="{08E4D943-4DB8-4ED4-8DCB-20FA6A845F4C}"/>
  <workbookProtection workbookAlgorithmName="SHA-512" workbookHashValue="8ab2jr7OK9jo/ZQPjNFD+7jZALqAolM6Q/M2ogldB+tOi7uabKeWWi6bclOlXTbNmLeGj9Ch1yL7EnG0wmDv5Q==" workbookSaltValue="JmHeWGjdCYNXzX8qNLmnKw==" workbookSpinCount="100000" lockStructure="1"/>
  <bookViews>
    <workbookView xWindow="-120" yWindow="-120" windowWidth="29040" windowHeight="15840" xr2:uid="{00000000-000D-0000-FFFF-FFFF00000000}"/>
  </bookViews>
  <sheets>
    <sheet name="INSTRUCTIONS" sheetId="32"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SOURCES'!$A$1:$G$55</definedName>
    <definedName name="_xlnm.Print_Area" localSheetId="2">'PARTICIPANTS &amp; DEMOGRAPHICS'!$A$1:$F$50</definedName>
    <definedName name="_xlnm.Print_Area" localSheetId="1">'PROGRAM BUDGET &amp; FISCAL REPORT'!$A$1:$N$166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5" i="19" l="1"/>
  <c r="D65" i="19"/>
  <c r="N62" i="19"/>
  <c r="N65" i="19" s="1"/>
  <c r="K62" i="19"/>
  <c r="K65" i="19" s="1"/>
  <c r="J62" i="19"/>
  <c r="H62" i="19"/>
  <c r="H65" i="19" s="1"/>
  <c r="G62" i="19"/>
  <c r="G65" i="19" s="1"/>
  <c r="D62" i="19"/>
  <c r="J146" i="19" l="1"/>
  <c r="J152" i="19"/>
  <c r="K152" i="19" s="1"/>
  <c r="K149" i="19"/>
  <c r="J149" i="19"/>
  <c r="B13" i="19"/>
  <c r="J145" i="19"/>
  <c r="K144" i="19"/>
  <c r="J144" i="19"/>
  <c r="I60" i="19" l="1"/>
  <c r="I61" i="19"/>
  <c r="L146" i="19" l="1"/>
  <c r="L145" i="19"/>
  <c r="H113" i="19" l="1"/>
  <c r="H102" i="19"/>
  <c r="C102" i="19" s="1"/>
  <c r="H101" i="19"/>
  <c r="C101" i="19" s="1"/>
  <c r="H100" i="19"/>
  <c r="C100" i="19" s="1"/>
  <c r="H99" i="19"/>
  <c r="C99" i="19" s="1"/>
  <c r="H98" i="19"/>
  <c r="C98" i="19" s="1"/>
  <c r="G98" i="19"/>
  <c r="H95" i="19"/>
  <c r="C95" i="19" s="1"/>
  <c r="H94" i="19"/>
  <c r="G94" i="19"/>
  <c r="H91" i="19"/>
  <c r="C91" i="19" s="1"/>
  <c r="H90" i="19"/>
  <c r="C90" i="19" s="1"/>
  <c r="G90" i="19"/>
  <c r="H89" i="19"/>
  <c r="C89" i="19" s="1"/>
  <c r="G89" i="19"/>
  <c r="C105" i="19"/>
  <c r="C104" i="19"/>
  <c r="C103" i="19"/>
  <c r="C96" i="19"/>
  <c r="C94" i="19"/>
  <c r="C93" i="19"/>
  <c r="C81" i="19" l="1"/>
  <c r="L60" i="19" l="1"/>
  <c r="M60" i="19" s="1"/>
  <c r="L61" i="19"/>
  <c r="M61" i="19" s="1"/>
  <c r="C113" i="19"/>
  <c r="L93" i="19" l="1"/>
  <c r="M93" i="19" s="1"/>
  <c r="L50" i="19"/>
  <c r="M50" i="19" s="1"/>
  <c r="I50" i="19"/>
  <c r="L49" i="19"/>
  <c r="M49" i="19" s="1"/>
  <c r="I49" i="19"/>
  <c r="L48" i="19"/>
  <c r="M48" i="19" s="1"/>
  <c r="I48" i="19"/>
  <c r="L47" i="19"/>
  <c r="M47" i="19" s="1"/>
  <c r="I47" i="19"/>
  <c r="L46" i="19"/>
  <c r="M46" i="19" s="1"/>
  <c r="I46" i="19"/>
  <c r="L45" i="19"/>
  <c r="M45" i="19" s="1"/>
  <c r="I45" i="19"/>
  <c r="L44" i="19"/>
  <c r="M44" i="19" s="1"/>
  <c r="I44" i="19"/>
  <c r="L43" i="19"/>
  <c r="M43" i="19" s="1"/>
  <c r="I43" i="19"/>
  <c r="L42" i="19"/>
  <c r="M42" i="19" s="1"/>
  <c r="I42" i="19"/>
  <c r="L41" i="19"/>
  <c r="M41" i="19" s="1"/>
  <c r="I41" i="19"/>
  <c r="L116" i="19"/>
  <c r="M116" i="19" s="1"/>
  <c r="I116" i="19"/>
  <c r="L115" i="19"/>
  <c r="M115" i="19" s="1"/>
  <c r="I115" i="19"/>
  <c r="L98" i="19"/>
  <c r="M98" i="19" s="1"/>
  <c r="I98" i="19"/>
  <c r="L97" i="19"/>
  <c r="M97" i="19" s="1"/>
  <c r="I97" i="19"/>
  <c r="L96" i="19"/>
  <c r="M96" i="19" s="1"/>
  <c r="I96" i="19"/>
  <c r="L95" i="19"/>
  <c r="M95" i="19" s="1"/>
  <c r="I95" i="19"/>
  <c r="L94" i="19"/>
  <c r="M94" i="19" s="1"/>
  <c r="I94" i="19"/>
  <c r="I93" i="19"/>
  <c r="L92" i="19"/>
  <c r="M92" i="19" s="1"/>
  <c r="I92" i="19"/>
  <c r="L51" i="19"/>
  <c r="M51" i="19" s="1"/>
  <c r="I51" i="19"/>
  <c r="L40" i="19"/>
  <c r="M40" i="19" s="1"/>
  <c r="I40" i="19"/>
  <c r="L39" i="19"/>
  <c r="M39" i="19" s="1"/>
  <c r="I39" i="19"/>
  <c r="L38" i="19"/>
  <c r="M38" i="19" s="1"/>
  <c r="I38" i="19"/>
  <c r="L37" i="19"/>
  <c r="M37" i="19" s="1"/>
  <c r="I37" i="19"/>
  <c r="L36" i="19"/>
  <c r="M36" i="19" s="1"/>
  <c r="I36" i="19"/>
  <c r="L35" i="19"/>
  <c r="M35" i="19" s="1"/>
  <c r="I35" i="19"/>
  <c r="L34" i="19"/>
  <c r="M34" i="19" s="1"/>
  <c r="I34" i="19"/>
  <c r="L33" i="19"/>
  <c r="M33" i="19" s="1"/>
  <c r="I33" i="19"/>
  <c r="L32" i="19"/>
  <c r="M32" i="19" s="1"/>
  <c r="I32" i="19"/>
  <c r="L31" i="19"/>
  <c r="M31" i="19" s="1"/>
  <c r="I31" i="19"/>
  <c r="L30" i="19"/>
  <c r="M30" i="19" s="1"/>
  <c r="I30" i="19"/>
  <c r="L29" i="19"/>
  <c r="M29" i="19" s="1"/>
  <c r="I29" i="19"/>
  <c r="L28" i="19"/>
  <c r="M28" i="19" s="1"/>
  <c r="I28" i="19"/>
  <c r="L64" i="19"/>
  <c r="M64" i="19" s="1"/>
  <c r="I64" i="19"/>
  <c r="L63" i="19"/>
  <c r="M63" i="19" s="1"/>
  <c r="I63" i="19"/>
  <c r="L59" i="19"/>
  <c r="M59" i="19" s="1"/>
  <c r="I59" i="19"/>
  <c r="L58" i="19"/>
  <c r="M58" i="19" s="1"/>
  <c r="I58" i="19"/>
  <c r="L57" i="19"/>
  <c r="M57" i="19" s="1"/>
  <c r="I57" i="19"/>
  <c r="L56" i="19"/>
  <c r="M56" i="19" s="1"/>
  <c r="I56" i="19"/>
  <c r="L55" i="19"/>
  <c r="M55" i="19" s="1"/>
  <c r="I55" i="19"/>
  <c r="L54" i="19"/>
  <c r="M54" i="19" s="1"/>
  <c r="I54" i="19"/>
  <c r="L53" i="19"/>
  <c r="M53" i="19" s="1"/>
  <c r="I53" i="19"/>
  <c r="L52" i="19"/>
  <c r="M52" i="19" s="1"/>
  <c r="I52" i="19"/>
  <c r="K163" i="19"/>
  <c r="J163" i="19"/>
  <c r="I163" i="19"/>
  <c r="E8" i="14" l="1"/>
  <c r="E7" i="14"/>
  <c r="C8" i="14"/>
  <c r="C7" i="14"/>
  <c r="C4" i="14" l="1"/>
  <c r="C3" i="14"/>
  <c r="N117" i="19"/>
  <c r="I132" i="19"/>
  <c r="C53" i="30" l="1"/>
  <c r="D53" i="30"/>
  <c r="D13" i="19" l="1"/>
  <c r="D12" i="19"/>
  <c r="D11" i="19"/>
  <c r="D10" i="19"/>
  <c r="D9" i="19"/>
  <c r="L162" i="19" l="1"/>
  <c r="L161" i="19"/>
  <c r="L159" i="19"/>
  <c r="L158" i="19"/>
  <c r="L156" i="19"/>
  <c r="L155" i="19"/>
  <c r="L153" i="19"/>
  <c r="L152" i="19"/>
  <c r="L150" i="19"/>
  <c r="L149" i="19"/>
  <c r="L147" i="19"/>
  <c r="L144" i="19"/>
  <c r="D8" i="19"/>
  <c r="D7" i="19"/>
  <c r="D6" i="19"/>
  <c r="L163" i="19" l="1"/>
  <c r="N134" i="19"/>
  <c r="K134" i="19"/>
  <c r="J134" i="19"/>
  <c r="F133" i="19"/>
  <c r="H134" i="19"/>
  <c r="G134" i="19"/>
  <c r="L133" i="19"/>
  <c r="M133" i="19" s="1"/>
  <c r="I133" i="19"/>
  <c r="G76" i="19"/>
  <c r="G7" i="19" s="1"/>
  <c r="G6" i="19"/>
  <c r="I124" i="19"/>
  <c r="I123" i="19"/>
  <c r="I122" i="19"/>
  <c r="I114" i="19"/>
  <c r="I113" i="19"/>
  <c r="I107" i="19"/>
  <c r="I106" i="19"/>
  <c r="I105" i="19"/>
  <c r="I104" i="19"/>
  <c r="I103" i="19"/>
  <c r="I102" i="19"/>
  <c r="I101" i="19"/>
  <c r="I100" i="19"/>
  <c r="I99" i="19"/>
  <c r="I91" i="19"/>
  <c r="I90" i="19"/>
  <c r="I89" i="19"/>
  <c r="L124" i="19"/>
  <c r="M124" i="19" s="1"/>
  <c r="L123" i="19"/>
  <c r="M123" i="19" s="1"/>
  <c r="L114" i="19"/>
  <c r="M114" i="19" s="1"/>
  <c r="L105" i="19"/>
  <c r="M105" i="19" s="1"/>
  <c r="L104" i="19"/>
  <c r="M104" i="19" s="1"/>
  <c r="L103" i="19"/>
  <c r="M103" i="19" s="1"/>
  <c r="L102" i="19"/>
  <c r="M102" i="19" s="1"/>
  <c r="L101" i="19"/>
  <c r="M101" i="19" s="1"/>
  <c r="L100" i="19"/>
  <c r="M100" i="19" s="1"/>
  <c r="L99" i="19"/>
  <c r="M99" i="19" s="1"/>
  <c r="L91" i="19"/>
  <c r="M91" i="19" s="1"/>
  <c r="I82" i="19"/>
  <c r="L82" i="19"/>
  <c r="M82" i="19" s="1"/>
  <c r="I83" i="19"/>
  <c r="L83" i="19"/>
  <c r="M83" i="19" s="1"/>
  <c r="I74" i="19"/>
  <c r="L74" i="19"/>
  <c r="M74" i="19" s="1"/>
  <c r="I75" i="19"/>
  <c r="L75" i="19"/>
  <c r="M75" i="19" s="1"/>
  <c r="I27" i="19"/>
  <c r="I62" i="19" s="1"/>
  <c r="I65" i="19" s="1"/>
  <c r="G108" i="19"/>
  <c r="G9" i="19" s="1"/>
  <c r="L107" i="19"/>
  <c r="M107" i="19" s="1"/>
  <c r="L106" i="19"/>
  <c r="M106" i="19" s="1"/>
  <c r="N6" i="19"/>
  <c r="N76" i="19"/>
  <c r="N7" i="19" s="1"/>
  <c r="N84" i="19"/>
  <c r="N8" i="19" s="1"/>
  <c r="N108" i="19"/>
  <c r="N9" i="19" s="1"/>
  <c r="J117" i="19"/>
  <c r="J10" i="19" s="1"/>
  <c r="K117" i="19"/>
  <c r="K10" i="19" s="1"/>
  <c r="N125" i="19"/>
  <c r="N11" i="19" s="1"/>
  <c r="L27" i="19"/>
  <c r="B4" i="14"/>
  <c r="B3" i="14"/>
  <c r="G84" i="19"/>
  <c r="G8" i="19" s="1"/>
  <c r="G117" i="19"/>
  <c r="G10" i="19" s="1"/>
  <c r="G125" i="19"/>
  <c r="G11" i="19" s="1"/>
  <c r="H84" i="19"/>
  <c r="H8" i="19" s="1"/>
  <c r="H108" i="19"/>
  <c r="H9" i="19" s="1"/>
  <c r="H117" i="19"/>
  <c r="H10" i="19" s="1"/>
  <c r="H125" i="19"/>
  <c r="H11" i="19" s="1"/>
  <c r="L81" i="19"/>
  <c r="M81" i="19" s="1"/>
  <c r="I134" i="19"/>
  <c r="I12" i="19" s="1"/>
  <c r="I81" i="19"/>
  <c r="L90" i="19"/>
  <c r="M90" i="19" s="1"/>
  <c r="L132" i="19"/>
  <c r="M132" i="19" s="1"/>
  <c r="K125" i="19"/>
  <c r="K11" i="19" s="1"/>
  <c r="J125" i="19"/>
  <c r="J11" i="19" s="1"/>
  <c r="L122" i="19"/>
  <c r="M122" i="19" s="1"/>
  <c r="L113" i="19"/>
  <c r="M113" i="19" s="1"/>
  <c r="L89" i="19"/>
  <c r="M89" i="19" s="1"/>
  <c r="K108" i="19"/>
  <c r="K9" i="19" s="1"/>
  <c r="J108" i="19"/>
  <c r="J9" i="19" s="1"/>
  <c r="K84" i="19"/>
  <c r="K8" i="19" s="1"/>
  <c r="J84" i="19"/>
  <c r="J8" i="19" s="1"/>
  <c r="K6" i="19"/>
  <c r="M27" i="19" l="1"/>
  <c r="L62" i="19"/>
  <c r="J6" i="19"/>
  <c r="H73" i="19"/>
  <c r="H71" i="19"/>
  <c r="H72" i="19"/>
  <c r="H70" i="19"/>
  <c r="H6" i="19"/>
  <c r="G136" i="19"/>
  <c r="G13" i="19" s="1"/>
  <c r="B9" i="26" s="1"/>
  <c r="G12" i="19"/>
  <c r="H12" i="19"/>
  <c r="N12" i="19"/>
  <c r="J12" i="19"/>
  <c r="K12" i="19"/>
  <c r="E9" i="14"/>
  <c r="C9" i="14"/>
  <c r="I108" i="19"/>
  <c r="I9" i="19" s="1"/>
  <c r="I117" i="19"/>
  <c r="I10" i="19" s="1"/>
  <c r="N10" i="19"/>
  <c r="I84" i="19"/>
  <c r="I8" i="19" s="1"/>
  <c r="I6" i="19"/>
  <c r="I125" i="19"/>
  <c r="L108" i="19"/>
  <c r="L134" i="19"/>
  <c r="L12" i="19" s="1"/>
  <c r="L84" i="19"/>
  <c r="M84" i="19" s="1"/>
  <c r="L117" i="19"/>
  <c r="L10" i="19" s="1"/>
  <c r="M10" i="19" s="1"/>
  <c r="L125" i="19"/>
  <c r="M62" i="19" l="1"/>
  <c r="L65" i="19"/>
  <c r="L6" i="19"/>
  <c r="M6" i="19" s="1"/>
  <c r="C71" i="19"/>
  <c r="I71" i="19"/>
  <c r="C73" i="19"/>
  <c r="I73" i="19"/>
  <c r="C70" i="19"/>
  <c r="H76" i="19"/>
  <c r="I70" i="19"/>
  <c r="C72" i="19"/>
  <c r="I72" i="19"/>
  <c r="B50" i="26"/>
  <c r="C12" i="14"/>
  <c r="C15" i="14" s="1"/>
  <c r="D15" i="14" s="1"/>
  <c r="M12" i="19"/>
  <c r="N136" i="19"/>
  <c r="N13" i="19" s="1"/>
  <c r="C9" i="26" s="1"/>
  <c r="I11" i="19"/>
  <c r="M125" i="19"/>
  <c r="L11" i="19"/>
  <c r="M11" i="19" s="1"/>
  <c r="M108" i="19"/>
  <c r="L9" i="19"/>
  <c r="M9" i="19" s="1"/>
  <c r="M65" i="19"/>
  <c r="M117" i="19"/>
  <c r="L8" i="19"/>
  <c r="M8" i="19" s="1"/>
  <c r="M134" i="19"/>
  <c r="L72" i="19" l="1"/>
  <c r="M72" i="19" s="1"/>
  <c r="L71" i="19"/>
  <c r="M71" i="19" s="1"/>
  <c r="L73" i="19"/>
  <c r="M73" i="19" s="1"/>
  <c r="H7" i="19"/>
  <c r="H136" i="19"/>
  <c r="I76" i="19"/>
  <c r="C50" i="26"/>
  <c r="E12" i="14"/>
  <c r="E15" i="14" s="1"/>
  <c r="F15" i="14" s="1"/>
  <c r="K76" i="19" l="1"/>
  <c r="I7" i="19"/>
  <c r="I136" i="19"/>
  <c r="I13" i="19" s="1"/>
  <c r="H13" i="19"/>
  <c r="F132" i="19"/>
  <c r="K7" i="19" l="1"/>
  <c r="K136" i="19"/>
  <c r="K13" i="19" s="1"/>
  <c r="J76" i="19"/>
  <c r="L70" i="19"/>
  <c r="D12" i="14"/>
  <c r="C16" i="14" s="1"/>
  <c r="L76" i="19" l="1"/>
  <c r="M70" i="19"/>
  <c r="J7" i="19"/>
  <c r="J136" i="19"/>
  <c r="J13" i="19" s="1"/>
  <c r="D16" i="14"/>
  <c r="C18" i="14"/>
  <c r="D18" i="14" s="1"/>
  <c r="L136" i="19" l="1"/>
  <c r="L7" i="19"/>
  <c r="M7" i="19" s="1"/>
  <c r="M76" i="19"/>
  <c r="L13" i="19" l="1"/>
  <c r="M136" i="19"/>
  <c r="M163" i="19" l="1"/>
  <c r="N163" i="19" s="1"/>
  <c r="B14" i="19"/>
  <c r="B15" i="19" s="1"/>
  <c r="F12" i="14"/>
  <c r="E16" i="14" s="1"/>
  <c r="M13" i="19"/>
  <c r="E18" i="14" l="1"/>
  <c r="F18" i="14" s="1"/>
  <c r="F16" i="14"/>
</calcChain>
</file>

<file path=xl/sharedStrings.xml><?xml version="1.0" encoding="utf-8"?>
<sst xmlns="http://schemas.openxmlformats.org/spreadsheetml/2006/main" count="469" uniqueCount="295">
  <si>
    <t>FY 2022-23 HSGP Exhibit C3</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</si>
  <si>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</si>
  <si>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</si>
  <si>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</si>
  <si>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</si>
  <si>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</si>
  <si>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</si>
  <si>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</si>
  <si>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</si>
  <si>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</si>
  <si>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</si>
  <si>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</si>
  <si>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</si>
  <si>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</si>
  <si>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</si>
  <si>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</si>
  <si>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</si>
  <si>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</si>
  <si>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</si>
  <si>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</si>
  <si>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</si>
  <si>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</si>
  <si>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</si>
  <si>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</si>
  <si>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</si>
  <si>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</si>
  <si>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</si>
  <si>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</si>
  <si>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</si>
  <si>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</si>
  <si>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</si>
  <si>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</si>
  <si>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</si>
  <si>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</si>
  <si>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</si>
  <si>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</si>
  <si>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</si>
  <si>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</si>
  <si>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</si>
  <si>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</si>
  <si>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</si>
  <si>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</si>
  <si>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</si>
  <si>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</si>
  <si>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</si>
  <si>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</si>
  <si>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</si>
  <si>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</si>
  <si>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The People Concern</t>
  </si>
  <si>
    <t>PROGRAM NAME:</t>
  </si>
  <si>
    <t>Interim Housing and Wellness Program</t>
  </si>
  <si>
    <t>REPORTING PERIOD:</t>
  </si>
  <si>
    <t>FY 2022-23 Program Budget: 7/1/22-6/30/23</t>
  </si>
  <si>
    <t>A. Total City Funds Disbursed to Date:</t>
  </si>
  <si>
    <t>B. Total City Funds Expended to Date:</t>
  </si>
  <si>
    <t>C. Cash Balance (Line A - Line B):</t>
  </si>
  <si>
    <t>Senior/Executive Management</t>
  </si>
  <si>
    <t>Federal</t>
  </si>
  <si>
    <t>Mid-Year Report (1st Period): 7/1/22 - 12/31/22</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</si>
  <si>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</si>
  <si>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</si>
  <si>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</si>
  <si>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</si>
  <si>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</si>
  <si>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</si>
  <si>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</si>
  <si>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</si>
  <si>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</si>
  <si>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</si>
  <si>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</si>
  <si>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</si>
  <si>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Best, Patricia</t>
  </si>
  <si>
    <t>Assistant Director</t>
  </si>
  <si>
    <t>Rocquemore, Markesha Turquoize</t>
  </si>
  <si>
    <t>Case Manager</t>
  </si>
  <si>
    <t>Brown, Claudorian</t>
  </si>
  <si>
    <t>Allen-Jones, Katrina</t>
  </si>
  <si>
    <t>Mckinney, Patrick Maurice</t>
  </si>
  <si>
    <t>Dias, Christina</t>
  </si>
  <si>
    <t>Director of Interim Housing</t>
  </si>
  <si>
    <t>Bowe-Hood, Lori</t>
  </si>
  <si>
    <t>Vacant</t>
  </si>
  <si>
    <t>Facilities Maintenance Technician I</t>
  </si>
  <si>
    <t>Facilities Maintenance Engineer I</t>
  </si>
  <si>
    <t>Gillings, Glynnis</t>
  </si>
  <si>
    <t>Program Manager</t>
  </si>
  <si>
    <t>Hernandez, Ana Gabriela</t>
  </si>
  <si>
    <t>Senior Case Manager</t>
  </si>
  <si>
    <t>Cole, Viveca</t>
  </si>
  <si>
    <t>Senior Coordinator</t>
  </si>
  <si>
    <t>Myvett, Shareipha Tishaun</t>
  </si>
  <si>
    <t>Senior Director</t>
  </si>
  <si>
    <t>Breen, Kymberly</t>
  </si>
  <si>
    <t>Support Specialist</t>
  </si>
  <si>
    <t>Carbajal, Alejandro</t>
  </si>
  <si>
    <t>Duval, Christina J</t>
  </si>
  <si>
    <t>Franco, Dominique Del Rosario</t>
  </si>
  <si>
    <t>Garcia, Jennifer Stephanie</t>
  </si>
  <si>
    <t>Gardina, Trishina Simone</t>
  </si>
  <si>
    <t>Gillie, Craig Marshall</t>
  </si>
  <si>
    <t>Handy, Larry A</t>
  </si>
  <si>
    <t>Ledezma, Antonio</t>
  </si>
  <si>
    <t>Rollison, Zoe Eudora</t>
  </si>
  <si>
    <t>Uhlenkott, James</t>
  </si>
  <si>
    <t>Mena, Davell Dejon</t>
  </si>
  <si>
    <t>Palomo, Armando</t>
  </si>
  <si>
    <t>Patton, Myron Lamar</t>
  </si>
  <si>
    <t>Thompson, Curtis Deon</t>
  </si>
  <si>
    <t>Velazquez, Rosalva</t>
  </si>
  <si>
    <t>Williams, Marquis Charles</t>
  </si>
  <si>
    <t>Support Specialist, On Call</t>
  </si>
  <si>
    <t>Support Specialist, On-Call</t>
  </si>
  <si>
    <t>Cutler, Joshua</t>
  </si>
  <si>
    <t>Lopez, Jose</t>
  </si>
  <si>
    <t>1A.  Staff Salaries TOTAL</t>
  </si>
  <si>
    <t>1B.  Staff Fringe Benefits</t>
  </si>
  <si>
    <t>List each fringe benefit as a percentage of total staff salaries listed above (FICA, SUI, Workers’ Compensation, Medical Insurance, Retirement, etc.).</t>
  </si>
  <si>
    <t>Description</t>
  </si>
  <si>
    <t>Worker's Compensation</t>
  </si>
  <si>
    <t>3.47% of staff salaries</t>
  </si>
  <si>
    <t>S.U.I.</t>
  </si>
  <si>
    <t>0.68% of staff salaries</t>
  </si>
  <si>
    <t>Health Insurance</t>
  </si>
  <si>
    <t>12.03% of staff salaries Full Time Staff Covered (based on actual costs)</t>
  </si>
  <si>
    <t>FICA/Medicare</t>
  </si>
  <si>
    <t>7.65% of staff salaries</t>
  </si>
  <si>
    <t>1B.  Staff Fringe Benefits TOTAL</t>
  </si>
  <si>
    <t>2.  Consultant Services</t>
  </si>
  <si>
    <t>List each consultant to be funded. Include type of service, total budgeted expense, and any additional information to suport the use of consultants as opposed to staff or volunteers.</t>
  </si>
  <si>
    <t>Consultant and Professionals</t>
  </si>
  <si>
    <t>Monthly budgeted cost per month x 12 months:</t>
  </si>
  <si>
    <t>2.  Consultant Services TOTAL</t>
  </si>
  <si>
    <t>3.  Operating Expenses</t>
  </si>
  <si>
    <t>List all operating expenses [e.g., space/rent expense, utilities, facilitiy maintenance, equipment, insurance, office supplies, printing, audit fees, travel, training, etc.].</t>
  </si>
  <si>
    <t>Repair &amp; Maintenance</t>
  </si>
  <si>
    <t>Physical repairs of facility and major systems. Monthly budgeted cost:</t>
  </si>
  <si>
    <t>Rent - Space</t>
  </si>
  <si>
    <t>Calculated on FTE basis. Annual rent/12 x Program FTEs x 12 months. Monthly budgeted cost:</t>
  </si>
  <si>
    <t>Janitorial &amp; Cleaning</t>
  </si>
  <si>
    <t>Cleaning and general upkeep of facility. Monthly budgeted cost:</t>
  </si>
  <si>
    <t>Equipment</t>
  </si>
  <si>
    <t>Training and Conferences</t>
  </si>
  <si>
    <t>Training and conferences - General skills training for staff - computer proficiency, management skills, etc. Monthly budgeted cost:</t>
  </si>
  <si>
    <t>Insurance(s)</t>
  </si>
  <si>
    <t xml:space="preserve">Supplies   </t>
  </si>
  <si>
    <t>Copy/Printing</t>
  </si>
  <si>
    <t>Laundry and Shower Supplies</t>
  </si>
  <si>
    <t>Food</t>
  </si>
  <si>
    <t xml:space="preserve">Computer and IT Supplies </t>
  </si>
  <si>
    <t>Staff Mileage and Parking</t>
  </si>
  <si>
    <t>Utilities</t>
  </si>
  <si>
    <t>Telephone / Internet</t>
  </si>
  <si>
    <t>Security</t>
  </si>
  <si>
    <t>Vehicle Insurance and Maint.</t>
  </si>
  <si>
    <t>Other and Miscellaneous Costs</t>
  </si>
  <si>
    <t>3.  Operating Expenses TOTAL</t>
  </si>
  <si>
    <t>4.  Direct Client Support</t>
  </si>
  <si>
    <t>List any expenses associated with direct service provision, individual client support, scholarships, or stipends. Include estimated number of recipients.</t>
  </si>
  <si>
    <t xml:space="preserve">Client Related Expense   </t>
  </si>
  <si>
    <t>Bus Tokens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</si>
  <si>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</si>
  <si>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</si>
  <si>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</si>
  <si>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</si>
  <si>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</si>
  <si>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</si>
  <si>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</si>
  <si>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</si>
  <si>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</si>
  <si>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</si>
  <si>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</si>
  <si>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</si>
  <si>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</si>
  <si>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</si>
  <si>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</si>
  <si>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</si>
  <si>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</si>
  <si>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</si>
  <si>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</si>
  <si>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</si>
  <si>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</si>
  <si>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</si>
  <si>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</si>
  <si>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LAC DMH BC</t>
  </si>
  <si>
    <t>LAHSA</t>
  </si>
  <si>
    <t>EFSP</t>
  </si>
  <si>
    <t>2.  Private/Corporate Grants</t>
  </si>
  <si>
    <t>Private</t>
  </si>
  <si>
    <t>3.  Individual Donations</t>
  </si>
  <si>
    <t>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</si>
  <si>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</si>
  <si>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</si>
  <si>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</si>
  <si>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</si>
  <si>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</si>
  <si>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</si>
  <si>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</si>
  <si>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</si>
  <si>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t>
  </si>
  <si>
    <t>Projected Total</t>
  </si>
  <si>
    <t>Mid-Year Actuals</t>
  </si>
  <si>
    <t>Year-End Actuals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</si>
  <si>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</si>
  <si>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</si>
  <si>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</si>
  <si>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</si>
  <si>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</si>
  <si>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</si>
  <si>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</si>
  <si>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</si>
  <si>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</si>
  <si>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</si>
  <si>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</si>
  <si>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Demographics</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</si>
  <si>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</si>
  <si>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</si>
  <si>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</si>
  <si>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</si>
  <si>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</si>
  <si>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</si>
  <si>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</si>
  <si>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</si>
  <si>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</si>
  <si>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</si>
  <si>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</si>
  <si>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</si>
  <si>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</si>
  <si>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</si>
  <si>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</si>
  <si>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</si>
  <si>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</si>
  <si>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</si>
  <si>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</si>
  <si>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</si>
  <si>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</si>
  <si>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COST PER PARTICIPANT 
(Total Program Budget / 
Total Unduplicated Program Participants)</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</si>
  <si>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</si>
  <si>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</si>
  <si>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</si>
  <si>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</si>
  <si>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</si>
  <si>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</si>
  <si>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</si>
  <si>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</si>
  <si>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</si>
  <si>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</si>
  <si>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</si>
  <si>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</si>
  <si>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</si>
  <si>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</si>
  <si>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</si>
  <si>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</si>
  <si>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</si>
  <si>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</si>
  <si>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</si>
  <si>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</si>
  <si>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</si>
  <si>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</si>
  <si>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</si>
  <si>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</si>
  <si>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</si>
  <si>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</si>
  <si>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</si>
  <si>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</si>
  <si>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County</t>
  </si>
  <si>
    <t xml:space="preserve">LA County Dept Department of Health Services </t>
  </si>
  <si>
    <t>Multiple</t>
  </si>
  <si>
    <t>Los Angeles Homeless Services Authority</t>
  </si>
  <si>
    <t>LA County Dept of Mental Health</t>
  </si>
  <si>
    <t>City</t>
  </si>
  <si>
    <t>City of Santa Monica</t>
  </si>
  <si>
    <t>California Office of Emergency Services (CalOEs)</t>
  </si>
  <si>
    <t>City of Lancaster</t>
  </si>
  <si>
    <t>City of Los Angeles</t>
  </si>
  <si>
    <t>City of Los Angeles HCIDLA</t>
  </si>
  <si>
    <t>Emergency Food &amp; Shelter Program</t>
  </si>
  <si>
    <t>Other</t>
  </si>
  <si>
    <t>Antelope Valley College</t>
  </si>
  <si>
    <t>City of Malibu</t>
  </si>
  <si>
    <t>US Department of HUD</t>
  </si>
  <si>
    <t>Various</t>
  </si>
  <si>
    <t>County of Los Angeles</t>
  </si>
  <si>
    <t>LA County DPH/DA/DV</t>
  </si>
  <si>
    <t>Clifford Beers Housing</t>
  </si>
  <si>
    <t>Other Contracts</t>
  </si>
  <si>
    <t>Private Foundations</t>
  </si>
  <si>
    <t>FY21-22 includes $4M in one-time capital grants</t>
  </si>
  <si>
    <t>Interest/Investment</t>
  </si>
  <si>
    <t>Shared Housing Rent</t>
  </si>
  <si>
    <t>Lease Income</t>
  </si>
  <si>
    <t>Loan Forgiveness</t>
  </si>
  <si>
    <t>FY21-22 includes $5.6M PPP Loan Forgiveness</t>
  </si>
  <si>
    <t>Other Income</t>
  </si>
  <si>
    <t>Events</t>
  </si>
  <si>
    <t>Arias Pacheco, Francisco Javier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</si>
</sst>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409]* #,##0.00_);_([$$-409]* \(#,##0.00\);_([$$-409]* &quot;-&quot;??_);_(@_)"/>
  </numFmts>
  <fonts count="35"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1499679555650502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3">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59"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4"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6"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29" fillId="0" borderId="0" xfId="3" applyFont="1" applyAlignment="1">
      <alignment horizontal="center" wrapText="1"/>
    </xf>
    <xf numFmtId="0" fontId="17" fillId="0" borderId="0" xfId="3" applyFont="1" applyAlignment="1">
      <alignment horizontal="center" wrapText="1"/>
    </xf>
    <xf numFmtId="0" fontId="29" fillId="0" borderId="0" xfId="3" applyFont="1"/>
    <xf numFmtId="164" fontId="29" fillId="0" borderId="0" xfId="2" applyNumberFormat="1" applyFont="1" applyBorder="1" applyAlignment="1" applyProtection="1">
      <alignment horizontal="center" wrapText="1"/>
    </xf>
    <xf numFmtId="0" fontId="28"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8" xfId="3" applyFont="1" applyBorder="1"/>
    <xf numFmtId="0" fontId="1" fillId="0" borderId="0" xfId="3" applyAlignment="1">
      <alignment wrapText="1"/>
    </xf>
    <xf numFmtId="0" fontId="1" fillId="0" borderId="48" xfId="3" applyBorder="1"/>
    <xf numFmtId="0" fontId="1" fillId="0" borderId="0" xfId="3" applyAlignment="1">
      <alignment horizontal="left" wrapText="1"/>
    </xf>
    <xf numFmtId="42" fontId="4" fillId="12" borderId="12" xfId="2" applyNumberFormat="1" applyFont="1" applyFill="1" applyBorder="1" applyAlignment="1" applyProtection="1"/>
    <xf numFmtId="0" fontId="31" fillId="0" borderId="0" xfId="3" applyFont="1"/>
    <xf numFmtId="0" fontId="32" fillId="0" borderId="0" xfId="3" applyFont="1"/>
    <xf numFmtId="0" fontId="33" fillId="0" borderId="0" xfId="3" applyFont="1" applyAlignment="1">
      <alignment horizontal="center"/>
    </xf>
    <xf numFmtId="0" fontId="34" fillId="9" borderId="18" xfId="3" applyFont="1" applyFill="1" applyBorder="1" applyAlignment="1">
      <alignment horizontal="center" vertical="center" wrapText="1"/>
    </xf>
    <xf numFmtId="0" fontId="34" fillId="9" borderId="1" xfId="3" applyFont="1" applyFill="1" applyBorder="1" applyAlignment="1">
      <alignment horizontal="center" vertical="center" wrapText="1"/>
    </xf>
    <xf numFmtId="42" fontId="3" fillId="12" borderId="12" xfId="3" applyNumberFormat="1" applyFont="1" applyFill="1" applyBorder="1"/>
    <xf numFmtId="0" fontId="1" fillId="12" borderId="12" xfId="3" applyFill="1" applyBorder="1"/>
    <xf numFmtId="42" fontId="1" fillId="12" borderId="21" xfId="2" applyNumberFormat="1" applyFont="1" applyFill="1" applyBorder="1" applyProtection="1"/>
    <xf numFmtId="10" fontId="1" fillId="12" borderId="44" xfId="5"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44" xfId="5" applyNumberFormat="1" applyFont="1" applyFill="1" applyBorder="1" applyAlignment="1" applyProtection="1">
      <alignment horizontal="left" vertical="top" wrapText="1"/>
    </xf>
    <xf numFmtId="39" fontId="1" fillId="12" borderId="50" xfId="1" applyNumberFormat="1" applyFont="1" applyFill="1" applyBorder="1" applyAlignment="1" applyProtection="1">
      <alignment horizontal="right" vertical="top" wrapText="1"/>
    </xf>
    <xf numFmtId="49" fontId="1" fillId="12" borderId="50" xfId="5" applyNumberFormat="1" applyFont="1" applyFill="1" applyBorder="1" applyAlignment="1" applyProtection="1">
      <alignment horizontal="left" vertical="top" wrapText="1"/>
    </xf>
    <xf numFmtId="49" fontId="1" fillId="12" borderId="53"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8" xfId="5" applyNumberFormat="1" applyFont="1" applyFill="1" applyBorder="1" applyAlignment="1" applyProtection="1">
      <alignment horizontal="left" vertical="top" wrapText="1"/>
    </xf>
    <xf numFmtId="0" fontId="1" fillId="12" borderId="26" xfId="2" applyNumberFormat="1" applyFont="1" applyFill="1" applyBorder="1" applyProtection="1"/>
    <xf numFmtId="171" fontId="4" fillId="12" borderId="14" xfId="2" applyNumberFormat="1" applyFont="1" applyFill="1" applyBorder="1" applyAlignment="1" applyProtection="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3" fillId="0" borderId="0" xfId="3" applyFont="1"/>
    <xf numFmtId="0" fontId="1" fillId="0" borderId="0" xfId="3"/>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0" fontId="1" fillId="12" borderId="40" xfId="0" applyFont="1" applyFill="1" applyBorder="1" applyAlignment="1" applyProtection="1">
      <alignment horizontal="left" vertical="top"/>
    </xf>
    <xf numFmtId="0" fontId="1" fillId="12" borderId="21" xfId="0"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2" fontId="1" fillId="12" borderId="21" xfId="0" applyNumberFormat="1" applyFont="1" applyFill="1" applyBorder="1" applyAlignment="1" applyProtection="1">
      <alignment horizontal="center" vertical="top"/>
    </xf>
    <xf numFmtId="1" fontId="1" fillId="12" borderId="21" xfId="0" applyNumberFormat="1" applyFont="1" applyFill="1" applyBorder="1" applyAlignment="1" applyProtection="1">
      <alignment horizontal="center" vertical="top" shrinkToFit="1"/>
    </xf>
    <xf numFmtId="42" fontId="1" fillId="6" borderId="21" xfId="2" applyNumberFormat="1" applyFont="1" applyFill="1" applyBorder="1" applyProtection="1"/>
    <xf numFmtId="42" fontId="1" fillId="0" borderId="21" xfId="3" applyNumberFormat="1" applyBorder="1" applyProtection="1"/>
    <xf numFmtId="42" fontId="1" fillId="6" borderId="36" xfId="3" applyNumberFormat="1" applyFill="1" applyBorder="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xf>
    <xf numFmtId="49" fontId="1" fillId="12" borderId="44" xfId="0" applyNumberFormat="1" applyFont="1" applyFill="1" applyBorder="1" applyAlignment="1" applyProtection="1">
      <alignment horizontal="left" vertical="top" wrapText="1" shrinkToFit="1"/>
    </xf>
    <xf numFmtId="42" fontId="1" fillId="6" borderId="19" xfId="2" applyNumberFormat="1" applyFont="1" applyFill="1" applyBorder="1" applyProtection="1"/>
    <xf numFmtId="0" fontId="2" fillId="4" borderId="52"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0"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wrapText="1"/>
    </xf>
    <xf numFmtId="42" fontId="1" fillId="6" borderId="22" xfId="2" applyNumberFormat="1" applyFont="1" applyFill="1" applyBorder="1" applyProtection="1"/>
    <xf numFmtId="0" fontId="2" fillId="4" borderId="11" xfId="3" applyFont="1" applyFill="1" applyBorder="1" applyAlignment="1" applyProtection="1">
      <alignment wrapText="1"/>
    </xf>
    <xf numFmtId="49" fontId="1" fillId="12" borderId="49" xfId="3" applyNumberFormat="1" applyFill="1" applyBorder="1" applyAlignment="1" applyProtection="1">
      <alignment horizontal="left" vertical="top"/>
    </xf>
    <xf numFmtId="49" fontId="1" fillId="12" borderId="50" xfId="0" applyNumberFormat="1" applyFont="1" applyFill="1" applyBorder="1" applyAlignment="1" applyProtection="1">
      <alignment horizontal="left" vertical="top" wrapText="1" shrinkToFit="1"/>
    </xf>
    <xf numFmtId="49" fontId="1" fillId="12" borderId="49" xfId="3" applyNumberFormat="1" applyFill="1" applyBorder="1" applyAlignment="1" applyProtection="1">
      <alignment horizontal="left" vertical="top" wrapText="1"/>
    </xf>
    <xf numFmtId="49" fontId="1" fillId="12" borderId="50" xfId="0" applyNumberFormat="1" applyFont="1" applyFill="1" applyBorder="1" applyAlignment="1" applyProtection="1">
      <alignment horizontal="left" vertical="top" shrinkToFit="1"/>
    </xf>
    <xf numFmtId="42" fontId="1" fillId="6" borderId="23" xfId="2" applyNumberFormat="1" applyFont="1" applyFill="1" applyBorder="1" applyProtection="1"/>
    <xf numFmtId="49" fontId="1" fillId="12" borderId="53" xfId="3" applyNumberFormat="1" applyFill="1" applyBorder="1" applyAlignment="1" applyProtection="1">
      <alignment horizontal="left" vertical="top" wrapText="1"/>
    </xf>
    <xf numFmtId="49" fontId="1" fillId="12" borderId="54" xfId="3" applyNumberFormat="1" applyFill="1" applyBorder="1" applyAlignment="1" applyProtection="1">
      <alignment horizontal="left" vertical="top" wrapText="1"/>
    </xf>
    <xf numFmtId="49" fontId="1" fillId="12" borderId="49" xfId="0" applyNumberFormat="1" applyFont="1" applyFill="1" applyBorder="1" applyAlignment="1" applyProtection="1">
      <alignment horizontal="left" vertical="top"/>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5" xfId="0" applyNumberFormat="1" applyFont="1" applyFill="1" applyBorder="1" applyAlignment="1" applyProtection="1">
      <alignment horizontal="left" vertical="top" shrinkToFit="1"/>
    </xf>
    <xf numFmtId="49" fontId="1" fillId="12" borderId="56"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5"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3" fillId="0" borderId="0" xfId="3" applyFont="1" applyAlignment="1" applyProtection="1">
      <alignment horizontal="left" vertical="center"/>
    </xf>
    <xf numFmtId="0" fontId="2" fillId="0" borderId="0" xfId="3" applyFont="1" applyAlignment="1" applyProtection="1">
      <alignment horizontal="center" vertical="center"/>
    </xf>
    <xf numFmtId="0" fontId="2" fillId="0" borderId="0" xfId="3" applyFont="1" applyAlignment="1" applyProtection="1">
      <alignment horizontal="center" vertical="center" textRotation="90" wrapText="1"/>
    </xf>
    <xf numFmtId="0" fontId="2" fillId="0" borderId="0" xfId="3" applyFont="1" applyAlignment="1" applyProtection="1">
      <alignment horizontal="center" vertical="center" textRotation="90"/>
    </xf>
    <xf numFmtId="0" fontId="1" fillId="0" borderId="0" xfId="3" applyAlignment="1" applyProtection="1">
      <alignment vertical="center" textRotation="90"/>
    </xf>
    <xf numFmtId="0" fontId="1" fillId="0" borderId="0" xfId="3" applyAlignment="1" applyProtection="1">
      <alignment vertical="center"/>
    </xf>
    <xf numFmtId="0" fontId="13" fillId="0" borderId="0" xfId="3" applyFont="1" applyAlignment="1" applyProtection="1">
      <alignment horizontal="center" vertical="center"/>
    </xf>
    <xf numFmtId="0" fontId="20" fillId="4" borderId="14" xfId="3" applyFont="1" applyFill="1" applyBorder="1" applyAlignment="1" applyProtection="1">
      <alignment horizontal="left" vertical="center"/>
    </xf>
    <xf numFmtId="0" fontId="20" fillId="4" borderId="45" xfId="3" applyFont="1" applyFill="1" applyBorder="1" applyAlignment="1" applyProtection="1">
      <alignment horizontal="center" vertical="center"/>
    </xf>
    <xf numFmtId="0" fontId="20" fillId="4" borderId="46" xfId="3" applyFont="1" applyFill="1" applyBorder="1" applyAlignment="1" applyProtection="1">
      <alignment horizontal="center" vertical="center"/>
    </xf>
    <xf numFmtId="0" fontId="4" fillId="0" borderId="0" xfId="3" applyFont="1" applyAlignment="1" applyProtection="1">
      <alignment vertical="center"/>
    </xf>
    <xf numFmtId="0" fontId="4" fillId="0" borderId="60" xfId="0" applyFont="1" applyBorder="1" applyAlignment="1" applyProtection="1">
      <alignment horizontal="right" vertical="center"/>
    </xf>
    <xf numFmtId="0" fontId="4" fillId="12" borderId="14" xfId="3" applyFont="1" applyFill="1" applyBorder="1" applyAlignment="1" applyProtection="1">
      <alignment horizontal="center" vertical="center" wrapText="1"/>
    </xf>
    <xf numFmtId="0" fontId="4" fillId="6" borderId="61" xfId="3" applyFont="1" applyFill="1" applyBorder="1" applyAlignment="1" applyProtection="1">
      <alignment horizontal="center" vertical="center"/>
    </xf>
    <xf numFmtId="0" fontId="4" fillId="6" borderId="62" xfId="3" applyFont="1" applyFill="1" applyBorder="1" applyAlignment="1" applyProtection="1">
      <alignment horizontal="center" vertical="center"/>
    </xf>
    <xf numFmtId="0" fontId="4" fillId="0" borderId="63" xfId="0" applyFont="1" applyBorder="1" applyAlignment="1" applyProtection="1">
      <alignment horizontal="right" vertical="center"/>
    </xf>
    <xf numFmtId="0" fontId="4" fillId="0" borderId="0" xfId="3" applyFont="1" applyAlignment="1" applyProtection="1">
      <alignment horizontal="center" vertical="center"/>
    </xf>
    <xf numFmtId="0" fontId="4" fillId="0" borderId="0" xfId="3" applyFont="1" applyAlignment="1" applyProtection="1">
      <alignment horizontal="center" vertical="center" wrapText="1"/>
    </xf>
    <xf numFmtId="0" fontId="20" fillId="4" borderId="14" xfId="3" applyFont="1" applyFill="1" applyBorder="1" applyAlignment="1" applyProtection="1">
      <alignment horizontal="left" vertical="center" wrapText="1"/>
    </xf>
    <xf numFmtId="0" fontId="20" fillId="4" borderId="64" xfId="3" applyFont="1" applyFill="1" applyBorder="1" applyAlignment="1" applyProtection="1">
      <alignment horizontal="left" vertical="center"/>
    </xf>
    <xf numFmtId="0" fontId="20" fillId="4" borderId="48" xfId="3" applyFont="1" applyFill="1" applyBorder="1" applyAlignment="1" applyProtection="1">
      <alignment horizontal="center" vertical="center"/>
    </xf>
    <xf numFmtId="0" fontId="20" fillId="4" borderId="65" xfId="3" applyFont="1" applyFill="1" applyBorder="1" applyAlignment="1" applyProtection="1">
      <alignment horizontal="center" vertical="center"/>
    </xf>
    <xf numFmtId="0" fontId="20" fillId="4" borderId="66" xfId="3" applyFont="1" applyFill="1" applyBorder="1" applyAlignment="1" applyProtection="1">
      <alignment horizontal="left" vertical="center"/>
    </xf>
    <xf numFmtId="0" fontId="20" fillId="4" borderId="12" xfId="3" applyFont="1" applyFill="1" applyBorder="1" applyAlignment="1" applyProtection="1">
      <alignment horizontal="center" vertical="center"/>
    </xf>
    <xf numFmtId="0" fontId="20" fillId="4" borderId="67" xfId="3" applyFont="1" applyFill="1" applyBorder="1" applyAlignment="1" applyProtection="1">
      <alignment horizontal="center"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3" fillId="0" borderId="0" xfId="3" applyFont="1" applyAlignment="1" applyProtection="1">
      <alignment horizontal="left" vertical="center" indent="2"/>
    </xf>
    <xf numFmtId="0" fontId="4" fillId="0" borderId="0" xfId="3" applyFont="1" applyAlignment="1" applyProtection="1">
      <alignment horizontal="left" vertical="center" indent="2"/>
    </xf>
    <xf numFmtId="0" fontId="1" fillId="0" borderId="0" xfId="3" applyAlignment="1" applyProtection="1">
      <alignment horizontal="center" vertical="center"/>
    </xf>
    <xf numFmtId="0" fontId="1" fillId="0" borderId="0" xfId="3" applyAlignment="1" applyProtection="1">
      <alignment horizontal="center" vertical="center" wrapText="1"/>
    </xf>
    <xf numFmtId="0" fontId="1" fillId="0" borderId="0" xfId="3" applyAlignment="1" applyProtection="1">
      <alignment vertical="center" wrapText="1"/>
    </xf>
    <xf numFmtId="44" fontId="4" fillId="12" borderId="14" xfId="2" applyFont="1" applyFill="1" applyBorder="1" applyAlignment="1" applyProtection="1">
      <alignment horizontal="center" vertical="center" wrapText="1"/>
    </xf>
    <xf numFmtId="0" fontId="1" fillId="0" borderId="0" xfId="3" applyAlignment="1">
      <alignment horizontal="left" vertical="center" wrapText="1"/>
    </xf>
    <xf numFmtId="0" fontId="13" fillId="0" borderId="0" xfId="3" applyFont="1" applyAlignment="1">
      <alignment horizontal="center"/>
    </xf>
    <xf numFmtId="0" fontId="16"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0" fillId="0" borderId="0" xfId="3" applyFont="1" applyAlignment="1"/>
    <xf numFmtId="0" fontId="4" fillId="0" borderId="47"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xf numFmtId="0" fontId="3" fillId="0" borderId="0" xfId="3" applyFont="1" applyAlignment="1"/>
    <xf numFmtId="0" fontId="1" fillId="0" borderId="0" xfId="3" applyAlignment="1"/>
    <xf numFmtId="0" fontId="12" fillId="0" borderId="0" xfId="3" applyFont="1" applyAlignment="1"/>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4000000}"/>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5000000}"/>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0A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36" customFormat="1" ht="18" x14ac:dyDescent="0.25">
      <c r="A1" s="317" t="s">
        <v>0</v>
      </c>
      <c r="B1" s="317"/>
      <c r="C1" s="317"/>
    </row>
    <row r="2" spans="1:3" s="137" customFormat="1" ht="18" x14ac:dyDescent="0.25">
      <c r="A2" s="317" t="s">
        <v>1</v>
      </c>
      <c r="B2" s="317"/>
      <c r="C2" s="317"/>
    </row>
    <row r="3" spans="1:3" s="138" customFormat="1" ht="13.5" thickBot="1" x14ac:dyDescent="0.25">
      <c r="A3" s="137"/>
      <c r="B3" s="137"/>
      <c r="C3" s="137"/>
    </row>
    <row r="4" spans="1:3" s="137" customFormat="1" ht="15.75" thickBot="1" x14ac:dyDescent="0.25">
      <c r="A4" s="139" t="s">
        <v>2</v>
      </c>
      <c r="B4" s="140" t="s">
        <v>3</v>
      </c>
      <c r="C4" s="140" t="s">
        <v>4</v>
      </c>
    </row>
    <row r="5" spans="1:3" s="137" customFormat="1" ht="29.25" thickBot="1" x14ac:dyDescent="0.25">
      <c r="A5" s="34" t="s">
        <v>5</v>
      </c>
      <c r="B5" s="33" t="s">
        <v>6</v>
      </c>
      <c r="C5" s="32">
        <v>44963</v>
      </c>
    </row>
    <row r="6" spans="1:3" s="137" customFormat="1" ht="29.25" thickBot="1" x14ac:dyDescent="0.25">
      <c r="A6" s="34" t="s">
        <v>7</v>
      </c>
      <c r="B6" s="33" t="s">
        <v>8</v>
      </c>
      <c r="C6" s="32">
        <v>45145</v>
      </c>
    </row>
    <row r="8" spans="1:3" ht="17.25" customHeight="1" x14ac:dyDescent="0.2">
      <c r="A8" s="318" t="s">
        <v>9</v>
      </c>
      <c r="B8" s="318"/>
      <c r="C8" s="318"/>
    </row>
    <row r="9" spans="1:3" ht="74.25" customHeight="1" x14ac:dyDescent="0.2">
      <c r="A9" s="316" t="s">
        <v>10</v>
      </c>
      <c r="B9" s="316"/>
      <c r="C9" s="316"/>
    </row>
    <row r="10" spans="1:3" ht="45.75" customHeight="1" x14ac:dyDescent="0.2">
      <c r="A10" s="316" t="s">
        <v>11</v>
      </c>
      <c r="B10" s="316"/>
      <c r="C10" s="316"/>
    </row>
    <row r="11" spans="1:3" ht="90" customHeight="1" x14ac:dyDescent="0.2">
      <c r="A11" s="316" t="s">
        <v>12</v>
      </c>
      <c r="B11" s="316"/>
      <c r="C11" s="316"/>
    </row>
    <row r="12" spans="1:3" ht="11.25" customHeight="1" x14ac:dyDescent="0.2">
      <c r="A12" s="316"/>
      <c r="B12" s="316"/>
      <c r="C12" s="316"/>
    </row>
    <row r="13" spans="1:3" ht="15" customHeight="1" x14ac:dyDescent="0.2">
      <c r="A13" s="318" t="s">
        <v>13</v>
      </c>
      <c r="B13" s="318"/>
      <c r="C13" s="318"/>
    </row>
    <row r="14" spans="1:3" ht="65.25" customHeight="1" x14ac:dyDescent="0.2">
      <c r="A14" s="316" t="s">
        <v>14</v>
      </c>
      <c r="B14" s="316"/>
      <c r="C14" s="316"/>
    </row>
    <row r="15" spans="1:3" s="12" customFormat="1" ht="50.25" customHeight="1" x14ac:dyDescent="0.2">
      <c r="A15" s="316" t="s">
        <v>15</v>
      </c>
      <c r="B15" s="316"/>
      <c r="C15" s="316"/>
    </row>
    <row r="16" spans="1:3" x14ac:dyDescent="0.2">
      <c r="A16" s="316"/>
      <c r="B16" s="316"/>
      <c r="C16" s="316"/>
    </row>
    <row r="17" spans="1:3" ht="16.5" customHeight="1" x14ac:dyDescent="0.2">
      <c r="A17" s="319" t="s">
        <v>16</v>
      </c>
      <c r="B17" s="319"/>
      <c r="C17" s="319"/>
    </row>
    <row r="18" spans="1:3" ht="30.75" customHeight="1" x14ac:dyDescent="0.2">
      <c r="A18" s="320" t="s">
        <v>17</v>
      </c>
      <c r="B18" s="320"/>
      <c r="C18" s="320"/>
    </row>
    <row r="19" spans="1:3" ht="30" customHeight="1" x14ac:dyDescent="0.2">
      <c r="A19" s="320" t="s">
        <v>18</v>
      </c>
      <c r="B19" s="320"/>
      <c r="C19" s="320"/>
    </row>
    <row r="20" spans="1:3" s="12" customFormat="1" ht="24.75" customHeight="1" x14ac:dyDescent="0.2">
      <c r="A20" s="320" t="s">
        <v>19</v>
      </c>
      <c r="B20" s="320"/>
      <c r="C20" s="320"/>
    </row>
    <row r="21" spans="1:3" ht="30" customHeight="1" x14ac:dyDescent="0.2">
      <c r="A21" s="320" t="s">
        <v>20</v>
      </c>
      <c r="B21" s="320"/>
      <c r="C21" s="320"/>
    </row>
    <row r="22" spans="1:3" x14ac:dyDescent="0.2">
      <c r="A22" s="316"/>
      <c r="B22" s="316"/>
      <c r="C22" s="316"/>
    </row>
    <row r="23" spans="1:3" ht="12.75" customHeight="1" x14ac:dyDescent="0.2">
      <c r="A23" s="319" t="s">
        <v>21</v>
      </c>
      <c r="B23" s="319"/>
      <c r="C23" s="319"/>
    </row>
    <row r="24" spans="1:3" s="12" customFormat="1" ht="172.5" customHeight="1" x14ac:dyDescent="0.2">
      <c r="A24" s="320" t="s">
        <v>22</v>
      </c>
      <c r="B24" s="320"/>
      <c r="C24" s="320"/>
    </row>
    <row r="25" spans="1:3" ht="174.75" customHeight="1" x14ac:dyDescent="0.2">
      <c r="A25" s="320" t="s">
        <v>23</v>
      </c>
      <c r="B25" s="320"/>
      <c r="C25" s="320"/>
    </row>
    <row r="26" spans="1:3" x14ac:dyDescent="0.2">
      <c r="A26" s="316"/>
      <c r="B26" s="316"/>
      <c r="C26" s="316"/>
    </row>
    <row r="27" spans="1:3" ht="13.5" customHeight="1" x14ac:dyDescent="0.2">
      <c r="A27" s="319" t="s">
        <v>24</v>
      </c>
      <c r="B27" s="319"/>
      <c r="C27" s="319"/>
    </row>
    <row r="28" spans="1:3" ht="54" customHeight="1" x14ac:dyDescent="0.2">
      <c r="A28" s="320" t="s">
        <v>25</v>
      </c>
      <c r="B28" s="320"/>
      <c r="C28" s="320"/>
    </row>
    <row r="29" spans="1:3" ht="31.5" customHeight="1" x14ac:dyDescent="0.2">
      <c r="A29" s="320" t="s">
        <v>26</v>
      </c>
      <c r="B29" s="320"/>
      <c r="C29" s="320"/>
    </row>
    <row r="30" spans="1:3" ht="55.5" customHeight="1" x14ac:dyDescent="0.2">
      <c r="A30" s="320" t="s">
        <v>27</v>
      </c>
      <c r="B30" s="320"/>
      <c r="C30" s="320"/>
    </row>
    <row r="31" spans="1:3" x14ac:dyDescent="0.2">
      <c r="A31" s="316"/>
      <c r="B31" s="316"/>
      <c r="C31" s="316"/>
    </row>
    <row r="32" spans="1:3" x14ac:dyDescent="0.2">
      <c r="A32" s="318" t="s">
        <v>28</v>
      </c>
      <c r="B32" s="318"/>
      <c r="C32" s="318"/>
    </row>
    <row r="33" spans="1:3" ht="43.5" customHeight="1" x14ac:dyDescent="0.2">
      <c r="A33" s="316" t="s">
        <v>29</v>
      </c>
      <c r="B33" s="316"/>
      <c r="C33" s="316"/>
    </row>
    <row r="35" spans="1:3" x14ac:dyDescent="0.2">
      <c r="A35" s="318" t="s">
        <v>30</v>
      </c>
      <c r="B35" s="318"/>
      <c r="C35" s="318"/>
    </row>
    <row r="36" spans="1:3" ht="54" customHeight="1" x14ac:dyDescent="0.2">
      <c r="A36" s="316" t="s">
        <v>31</v>
      </c>
      <c r="B36" s="316"/>
      <c r="C36" s="316"/>
    </row>
    <row r="37" spans="1:3" x14ac:dyDescent="0.2">
      <c r="A37" s="316"/>
      <c r="B37" s="316"/>
      <c r="C37" s="316"/>
    </row>
    <row r="38" spans="1:3" x14ac:dyDescent="0.2">
      <c r="A38" s="318" t="s">
        <v>32</v>
      </c>
      <c r="B38" s="318"/>
      <c r="C38" s="318"/>
    </row>
    <row r="39" spans="1:3" ht="86.25" customHeight="1" x14ac:dyDescent="0.2">
      <c r="A39" s="316" t="s">
        <v>33</v>
      </c>
      <c r="B39" s="316"/>
      <c r="C39" s="316"/>
    </row>
    <row r="41" spans="1:3" x14ac:dyDescent="0.2">
      <c r="A41" s="318" t="s">
        <v>34</v>
      </c>
      <c r="B41" s="318"/>
      <c r="C41" s="318"/>
    </row>
    <row r="42" spans="1:3" ht="77.25" customHeight="1" x14ac:dyDescent="0.2">
      <c r="A42" s="316" t="s">
        <v>35</v>
      </c>
      <c r="B42" s="316"/>
      <c r="C42" s="316"/>
    </row>
  </sheetData>
  <sheetProtection algorithmName="SHA-512" hashValue="JGMybGaa6qgBhIuyEniOF5RWfEbCBI6SdBCqemeNDdYpTz0SZh3KWg/JWO7ZJAlJC2Y9aqh75bYHNhbiUfZd9A==" saltValue="67XTr0xcOqQiQ/4hNR3w/Q==" spinCount="100000" sheet="1" objects="1" scenarios="1"/>
  <mergeCells count="35">
    <mergeCell ref="A37:C37"/>
    <mergeCell ref="A38:C38"/>
    <mergeCell ref="A39:C39"/>
    <mergeCell ref="A41:C41"/>
    <mergeCell ref="A42:C42"/>
    <mergeCell ref="A36:C36"/>
    <mergeCell ref="A24:C24"/>
    <mergeCell ref="A25:C25"/>
    <mergeCell ref="A26:C26"/>
    <mergeCell ref="A27:C27"/>
    <mergeCell ref="A28:C28"/>
    <mergeCell ref="A29:C29"/>
    <mergeCell ref="A30:C30"/>
    <mergeCell ref="A31:C31"/>
    <mergeCell ref="A32:C32"/>
    <mergeCell ref="A33:C33"/>
    <mergeCell ref="A35:C35"/>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83" orientation="portrait" horizontalDpi="4294967295" verticalDpi="4294967295" r:id="rId1"/>
  <headerFooter>
    <oddFooter>&amp;LCity of Santa Monica
Exhibit C3 -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66"/>
  <sheetViews>
    <sheetView showGridLines="0" zoomScale="80" zoomScaleNormal="80" workbookViewId="0">
      <selection activeCell="N1" sqref="N1"/>
    </sheetView>
  </sheetViews>
  <sheetFormatPr defaultColWidth="8.85546875" defaultRowHeight="12.75" outlineLevelRow="1" x14ac:dyDescent="0.2"/>
  <cols>
    <col min="1" max="1" width="33.140625" style="163" customWidth="1"/>
    <col min="2" max="2" width="32.5703125" style="163" customWidth="1"/>
    <col min="3" max="3" width="30.42578125" style="163" customWidth="1"/>
    <col min="4" max="4" width="11.140625" style="163" customWidth="1"/>
    <col min="5" max="5" width="10.85546875" style="163" customWidth="1"/>
    <col min="6" max="6" width="10" style="163" customWidth="1"/>
    <col min="7" max="9" width="14.85546875" style="163" customWidth="1"/>
    <col min="10" max="12" width="14.42578125" style="163" customWidth="1"/>
    <col min="13" max="13" width="13.85546875" style="8" bestFit="1" customWidth="1"/>
    <col min="14" max="14" width="16.7109375" style="7" customWidth="1"/>
    <col min="15" max="16384" width="8.85546875" style="163"/>
  </cols>
  <sheetData>
    <row r="1" spans="1:14" ht="18" x14ac:dyDescent="0.25">
      <c r="A1" s="160" t="s">
        <v>36</v>
      </c>
      <c r="B1" s="161"/>
      <c r="C1" s="162"/>
      <c r="D1" s="162"/>
      <c r="E1" s="162"/>
      <c r="F1" s="162"/>
      <c r="G1" s="162"/>
      <c r="H1" s="162"/>
      <c r="I1" s="162"/>
      <c r="J1" s="162"/>
      <c r="K1" s="162"/>
      <c r="L1" s="162"/>
      <c r="M1" s="19"/>
      <c r="N1" s="18"/>
    </row>
    <row r="2" spans="1:14" ht="18" x14ac:dyDescent="0.2">
      <c r="A2" s="164" t="s">
        <v>37</v>
      </c>
      <c r="B2" s="161"/>
      <c r="C2" s="162"/>
      <c r="D2" s="162"/>
      <c r="E2" s="162"/>
      <c r="F2" s="162"/>
      <c r="G2" s="162"/>
      <c r="H2" s="162"/>
      <c r="I2" s="162"/>
      <c r="J2" s="162"/>
      <c r="K2" s="162"/>
      <c r="L2" s="162"/>
      <c r="M2" s="19"/>
      <c r="N2" s="18"/>
    </row>
    <row r="3" spans="1:14" ht="13.5" thickBot="1" x14ac:dyDescent="0.25">
      <c r="A3" s="161"/>
      <c r="B3" s="161"/>
      <c r="C3" s="162"/>
      <c r="D3" s="162"/>
      <c r="E3" s="162"/>
      <c r="F3" s="162"/>
      <c r="G3" s="162"/>
      <c r="H3" s="162"/>
      <c r="I3" s="162"/>
      <c r="J3" s="162"/>
      <c r="K3" s="162"/>
      <c r="L3" s="162"/>
      <c r="M3" s="19"/>
      <c r="N3" s="18"/>
    </row>
    <row r="4" spans="1:14" ht="13.5" thickBot="1" x14ac:dyDescent="0.25">
      <c r="A4" s="165" t="s">
        <v>38</v>
      </c>
      <c r="B4" s="166"/>
      <c r="C4" s="166"/>
      <c r="D4" s="166"/>
      <c r="E4" s="166"/>
      <c r="F4" s="166"/>
      <c r="G4" s="166"/>
      <c r="H4" s="166"/>
      <c r="I4" s="166"/>
      <c r="J4" s="166"/>
      <c r="K4" s="166"/>
      <c r="L4" s="166"/>
      <c r="M4" s="68"/>
      <c r="N4" s="167"/>
    </row>
    <row r="5" spans="1:14" ht="33.75" x14ac:dyDescent="0.2">
      <c r="A5" s="168"/>
      <c r="B5" s="169"/>
      <c r="C5" s="169"/>
      <c r="D5" s="169"/>
      <c r="E5" s="169"/>
      <c r="F5" s="169"/>
      <c r="G5" s="170" t="s">
        <v>39</v>
      </c>
      <c r="H5" s="170" t="s">
        <v>40</v>
      </c>
      <c r="I5" s="170" t="s">
        <v>41</v>
      </c>
      <c r="J5" s="170" t="s">
        <v>42</v>
      </c>
      <c r="K5" s="170" t="s">
        <v>43</v>
      </c>
      <c r="L5" s="170" t="s">
        <v>44</v>
      </c>
      <c r="M5" s="74" t="s">
        <v>45</v>
      </c>
      <c r="N5" s="75" t="s">
        <v>46</v>
      </c>
    </row>
    <row r="6" spans="1:14" x14ac:dyDescent="0.2">
      <c r="A6" s="171" t="s">
        <v>47</v>
      </c>
      <c r="B6" s="172" t="s">
        <v>48</v>
      </c>
      <c r="C6" s="172"/>
      <c r="D6" s="173" t="str">
        <f>A24</f>
        <v>1A.  Staff Salaries</v>
      </c>
      <c r="G6" s="85">
        <f t="shared" ref="G6:I6" si="0">G65</f>
        <v>1288618.6966400009</v>
      </c>
      <c r="H6" s="85">
        <f t="shared" si="0"/>
        <v>380922.89293333335</v>
      </c>
      <c r="I6" s="85">
        <f t="shared" si="0"/>
        <v>907695.80370666704</v>
      </c>
      <c r="J6" s="85">
        <f t="shared" ref="J6:K6" si="1">J65</f>
        <v>190461.13646666668</v>
      </c>
      <c r="K6" s="85">
        <f t="shared" si="1"/>
        <v>190461.41646666668</v>
      </c>
      <c r="L6" s="85">
        <f>L65</f>
        <v>380922.55293333333</v>
      </c>
      <c r="M6" s="16">
        <f t="shared" ref="M6:M13" si="2">IFERROR(L6/H6,"N/A")</f>
        <v>0.9999991074309097</v>
      </c>
      <c r="N6" s="87">
        <f>N65</f>
        <v>714074.13706666674</v>
      </c>
    </row>
    <row r="7" spans="1:14" x14ac:dyDescent="0.2">
      <c r="A7" s="171" t="s">
        <v>49</v>
      </c>
      <c r="B7" s="174" t="s">
        <v>50</v>
      </c>
      <c r="C7" s="174"/>
      <c r="D7" s="173" t="str">
        <f>A67</f>
        <v>1B.  Staff Fringe Benefits</v>
      </c>
      <c r="G7" s="85">
        <f t="shared" ref="G7:I7" si="3">G76</f>
        <v>288113.00987379201</v>
      </c>
      <c r="H7" s="85">
        <f t="shared" si="3"/>
        <v>90773.925386013347</v>
      </c>
      <c r="I7" s="85">
        <f t="shared" si="3"/>
        <v>197339.08448777863</v>
      </c>
      <c r="J7" s="85">
        <f>J76</f>
        <v>45387.71470887334</v>
      </c>
      <c r="K7" s="85">
        <f>K76</f>
        <v>45386.305005193331</v>
      </c>
      <c r="L7" s="85">
        <f>L76</f>
        <v>90774.019714066671</v>
      </c>
      <c r="M7" s="16">
        <f t="shared" si="2"/>
        <v>1.0000010391536218</v>
      </c>
      <c r="N7" s="87">
        <f>N76</f>
        <v>299861.10999999958</v>
      </c>
    </row>
    <row r="8" spans="1:14" x14ac:dyDescent="0.2">
      <c r="A8" s="175"/>
      <c r="D8" s="173" t="str">
        <f>A78</f>
        <v>2.  Consultant Services</v>
      </c>
      <c r="G8" s="85">
        <f t="shared" ref="G8:I8" si="4">G84</f>
        <v>388</v>
      </c>
      <c r="H8" s="85">
        <f t="shared" si="4"/>
        <v>0</v>
      </c>
      <c r="I8" s="85">
        <f t="shared" si="4"/>
        <v>388</v>
      </c>
      <c r="J8" s="85">
        <f>J84</f>
        <v>0</v>
      </c>
      <c r="K8" s="85">
        <f>K84</f>
        <v>0</v>
      </c>
      <c r="L8" s="85">
        <f>L84</f>
        <v>0</v>
      </c>
      <c r="M8" s="16" t="str">
        <f t="shared" si="2"/>
        <v>N/A</v>
      </c>
      <c r="N8" s="87">
        <f>N84</f>
        <v>156.92000000000002</v>
      </c>
    </row>
    <row r="9" spans="1:14" x14ac:dyDescent="0.2">
      <c r="A9" s="175"/>
      <c r="D9" s="173" t="str">
        <f>A86</f>
        <v>3.  Operating Expenses</v>
      </c>
      <c r="G9" s="85">
        <f t="shared" ref="G9:L9" si="5">G108</f>
        <v>1251309.1935000001</v>
      </c>
      <c r="H9" s="85">
        <f t="shared" si="5"/>
        <v>338862.10274999996</v>
      </c>
      <c r="I9" s="85">
        <f t="shared" si="5"/>
        <v>912447.09074999997</v>
      </c>
      <c r="J9" s="85">
        <f t="shared" si="5"/>
        <v>149799.726375</v>
      </c>
      <c r="K9" s="85">
        <f t="shared" si="5"/>
        <v>189062.57637499998</v>
      </c>
      <c r="L9" s="85">
        <f t="shared" si="5"/>
        <v>338862.30274999997</v>
      </c>
      <c r="M9" s="16">
        <f t="shared" si="2"/>
        <v>1.0000005902105853</v>
      </c>
      <c r="N9" s="87">
        <f>N108</f>
        <v>1061496.8699999999</v>
      </c>
    </row>
    <row r="10" spans="1:14" x14ac:dyDescent="0.2">
      <c r="A10" s="176" t="s">
        <v>51</v>
      </c>
      <c r="B10" s="177" t="s">
        <v>61</v>
      </c>
      <c r="D10" s="173" t="str">
        <f>A110</f>
        <v>4.  Direct Client Support</v>
      </c>
      <c r="G10" s="85">
        <f>G117</f>
        <v>22500.014999999999</v>
      </c>
      <c r="H10" s="85">
        <f t="shared" ref="H10:N10" si="6">H117</f>
        <v>6508.9</v>
      </c>
      <c r="I10" s="85">
        <f t="shared" si="6"/>
        <v>15991.115</v>
      </c>
      <c r="J10" s="85">
        <f t="shared" si="6"/>
        <v>3254.45</v>
      </c>
      <c r="K10" s="85">
        <f t="shared" si="6"/>
        <v>3254.45</v>
      </c>
      <c r="L10" s="85">
        <f t="shared" si="6"/>
        <v>6508.9</v>
      </c>
      <c r="M10" s="16">
        <f t="shared" si="2"/>
        <v>1</v>
      </c>
      <c r="N10" s="87">
        <f t="shared" si="6"/>
        <v>24289.779999999992</v>
      </c>
    </row>
    <row r="11" spans="1:14" x14ac:dyDescent="0.2">
      <c r="A11" s="175"/>
      <c r="D11" s="173" t="str">
        <f>A119</f>
        <v>5.  Other</v>
      </c>
      <c r="G11" s="85">
        <f>G125</f>
        <v>0</v>
      </c>
      <c r="H11" s="85">
        <f t="shared" ref="H11:N11" si="7">H125</f>
        <v>0</v>
      </c>
      <c r="I11" s="85">
        <f t="shared" si="7"/>
        <v>0</v>
      </c>
      <c r="J11" s="85">
        <f t="shared" si="7"/>
        <v>0</v>
      </c>
      <c r="K11" s="85">
        <f t="shared" si="7"/>
        <v>0</v>
      </c>
      <c r="L11" s="85">
        <f t="shared" si="7"/>
        <v>0</v>
      </c>
      <c r="M11" s="16" t="str">
        <f t="shared" si="2"/>
        <v>N/A</v>
      </c>
      <c r="N11" s="87">
        <f t="shared" si="7"/>
        <v>0</v>
      </c>
    </row>
    <row r="12" spans="1:14" x14ac:dyDescent="0.2">
      <c r="A12" s="175"/>
      <c r="D12" s="173" t="str">
        <f>A127</f>
        <v>6.  Indirect Administrative Costs</v>
      </c>
      <c r="G12" s="85">
        <f>G134</f>
        <v>240715.8579</v>
      </c>
      <c r="H12" s="85">
        <f t="shared" ref="H12:L12" si="8">H134</f>
        <v>90785</v>
      </c>
      <c r="I12" s="85">
        <f t="shared" si="8"/>
        <v>149930.8579</v>
      </c>
      <c r="J12" s="85">
        <f t="shared" si="8"/>
        <v>45392.460000000014</v>
      </c>
      <c r="K12" s="85">
        <f t="shared" si="8"/>
        <v>45392.460000000014</v>
      </c>
      <c r="L12" s="85">
        <f t="shared" si="8"/>
        <v>90784.920000000027</v>
      </c>
      <c r="M12" s="16">
        <f t="shared" si="2"/>
        <v>0.99999911879715842</v>
      </c>
      <c r="N12" s="87">
        <f>N134</f>
        <v>171676.15000000005</v>
      </c>
    </row>
    <row r="13" spans="1:14" x14ac:dyDescent="0.2">
      <c r="A13" s="175" t="s">
        <v>53</v>
      </c>
      <c r="B13" s="178">
        <f>453927*2-1</f>
        <v>907853</v>
      </c>
      <c r="D13" s="179" t="str">
        <f>C136</f>
        <v>7.   TOTAL BUDGET</v>
      </c>
      <c r="E13" s="161"/>
      <c r="F13" s="161"/>
      <c r="G13" s="86">
        <f>G136</f>
        <v>3091644.7729137931</v>
      </c>
      <c r="H13" s="86">
        <f t="shared" ref="H13:L13" si="9">H136</f>
        <v>907852.82106934674</v>
      </c>
      <c r="I13" s="86">
        <f t="shared" si="9"/>
        <v>2183791.9518444454</v>
      </c>
      <c r="J13" s="86">
        <f t="shared" si="9"/>
        <v>434295.48755054001</v>
      </c>
      <c r="K13" s="86">
        <f t="shared" si="9"/>
        <v>473557.20784685999</v>
      </c>
      <c r="L13" s="86">
        <f t="shared" si="9"/>
        <v>907852.69539739995</v>
      </c>
      <c r="M13" s="17">
        <f t="shared" si="2"/>
        <v>0.99999986157233434</v>
      </c>
      <c r="N13" s="88">
        <f>N136</f>
        <v>2271554.9670666661</v>
      </c>
    </row>
    <row r="14" spans="1:14" x14ac:dyDescent="0.2">
      <c r="A14" s="175" t="s">
        <v>54</v>
      </c>
      <c r="B14" s="101">
        <f>L13</f>
        <v>907852.69539739995</v>
      </c>
      <c r="M14" s="163"/>
      <c r="N14" s="180"/>
    </row>
    <row r="15" spans="1:14" x14ac:dyDescent="0.2">
      <c r="A15" s="175" t="s">
        <v>55</v>
      </c>
      <c r="B15" s="101">
        <f>B13-B14</f>
        <v>0.30460260005202144</v>
      </c>
      <c r="M15" s="163"/>
      <c r="N15" s="180"/>
    </row>
    <row r="16" spans="1:14" x14ac:dyDescent="0.2">
      <c r="A16" s="175"/>
      <c r="M16" s="163"/>
      <c r="N16" s="180"/>
    </row>
    <row r="17" spans="1:14" ht="13.5" thickBot="1" x14ac:dyDescent="0.25">
      <c r="A17" s="181"/>
      <c r="B17" s="182"/>
      <c r="C17" s="183"/>
      <c r="D17" s="182"/>
      <c r="E17" s="182"/>
      <c r="F17" s="182"/>
      <c r="G17" s="183"/>
      <c r="H17" s="183"/>
      <c r="I17" s="183"/>
      <c r="J17" s="183"/>
      <c r="K17" s="183"/>
      <c r="L17" s="183"/>
      <c r="M17" s="183"/>
      <c r="N17" s="184"/>
    </row>
    <row r="18" spans="1:14" ht="13.5" thickBot="1" x14ac:dyDescent="0.25">
      <c r="A18" s="161"/>
      <c r="D18" s="161"/>
      <c r="E18" s="161"/>
      <c r="F18" s="161"/>
      <c r="G18" s="35"/>
      <c r="H18" s="35"/>
      <c r="I18" s="35"/>
      <c r="J18" s="35"/>
      <c r="K18" s="35"/>
      <c r="L18" s="35"/>
      <c r="M18" s="31"/>
      <c r="N18" s="35"/>
    </row>
    <row r="19" spans="1:14" ht="13.5" hidden="1" thickBot="1" x14ac:dyDescent="0.25">
      <c r="A19" s="168" t="s">
        <v>52</v>
      </c>
      <c r="B19" s="169"/>
      <c r="C19" s="169" t="s">
        <v>56</v>
      </c>
      <c r="D19" s="185"/>
      <c r="E19" s="185"/>
      <c r="F19" s="169" t="s">
        <v>57</v>
      </c>
      <c r="G19" s="77"/>
      <c r="H19" s="77"/>
      <c r="I19" s="77"/>
      <c r="J19" s="77"/>
      <c r="K19" s="77"/>
      <c r="L19" s="77"/>
      <c r="M19" s="78"/>
      <c r="N19" s="79"/>
    </row>
    <row r="20" spans="1:14" ht="13.5" hidden="1" thickBot="1" x14ac:dyDescent="0.25">
      <c r="A20" s="175" t="s">
        <v>58</v>
      </c>
      <c r="C20" s="163" t="s">
        <v>59</v>
      </c>
      <c r="D20" s="161"/>
      <c r="E20" s="161"/>
      <c r="F20" s="163" t="s">
        <v>60</v>
      </c>
      <c r="G20" s="35"/>
      <c r="H20" s="35"/>
      <c r="I20" s="35"/>
      <c r="J20" s="35"/>
      <c r="K20" s="35"/>
      <c r="L20" s="35"/>
      <c r="M20" s="31"/>
      <c r="N20" s="80"/>
    </row>
    <row r="21" spans="1:14" ht="13.5" hidden="1" thickBot="1" x14ac:dyDescent="0.25">
      <c r="A21" s="186" t="s">
        <v>61</v>
      </c>
      <c r="B21" s="183"/>
      <c r="C21" s="163" t="s">
        <v>62</v>
      </c>
      <c r="D21" s="183"/>
      <c r="E21" s="183"/>
      <c r="F21" s="183" t="s">
        <v>63</v>
      </c>
      <c r="G21" s="183"/>
      <c r="H21" s="183"/>
      <c r="I21" s="183"/>
      <c r="J21" s="183"/>
      <c r="K21" s="183"/>
      <c r="L21" s="183"/>
      <c r="M21" s="10"/>
      <c r="N21" s="81"/>
    </row>
    <row r="22" spans="1:14" ht="13.5" thickBot="1" x14ac:dyDescent="0.25">
      <c r="A22" s="165" t="s">
        <v>64</v>
      </c>
      <c r="B22" s="166"/>
      <c r="C22" s="166"/>
      <c r="D22" s="166"/>
      <c r="E22" s="166"/>
      <c r="F22" s="166"/>
      <c r="G22" s="166"/>
      <c r="H22" s="166"/>
      <c r="I22" s="166"/>
      <c r="J22" s="166"/>
      <c r="K22" s="166"/>
      <c r="L22" s="166"/>
      <c r="M22" s="68"/>
      <c r="N22" s="167"/>
    </row>
    <row r="23" spans="1:14" ht="13.5" thickBot="1" x14ac:dyDescent="0.25"/>
    <row r="24" spans="1:14" x14ac:dyDescent="0.2">
      <c r="A24" s="187" t="s">
        <v>65</v>
      </c>
      <c r="B24" s="188"/>
      <c r="C24" s="188"/>
      <c r="D24" s="188"/>
      <c r="E24" s="188"/>
      <c r="F24" s="189"/>
      <c r="G24" s="190"/>
      <c r="H24" s="190"/>
      <c r="I24" s="190"/>
      <c r="J24" s="190"/>
      <c r="K24" s="190"/>
      <c r="L24" s="190"/>
      <c r="M24" s="63"/>
      <c r="N24" s="64"/>
    </row>
    <row r="25" spans="1:14" s="195" customFormat="1" ht="11.25" x14ac:dyDescent="0.2">
      <c r="A25" s="191" t="s">
        <v>66</v>
      </c>
      <c r="B25" s="192"/>
      <c r="C25" s="192"/>
      <c r="D25" s="192"/>
      <c r="E25" s="192"/>
      <c r="F25" s="193"/>
      <c r="G25" s="194"/>
      <c r="H25" s="194"/>
      <c r="I25" s="194"/>
      <c r="J25" s="194"/>
      <c r="K25" s="194"/>
      <c r="L25" s="194"/>
      <c r="M25" s="6"/>
      <c r="N25" s="65"/>
    </row>
    <row r="26" spans="1:14" s="195" customFormat="1" ht="33.75" x14ac:dyDescent="0.2">
      <c r="A26" s="196" t="s">
        <v>67</v>
      </c>
      <c r="B26" s="197" t="s">
        <v>68</v>
      </c>
      <c r="C26" s="198" t="s">
        <v>69</v>
      </c>
      <c r="D26" s="198" t="s">
        <v>70</v>
      </c>
      <c r="E26" s="198"/>
      <c r="F26" s="198"/>
      <c r="G26" s="198" t="s">
        <v>39</v>
      </c>
      <c r="H26" s="198" t="s">
        <v>40</v>
      </c>
      <c r="I26" s="198" t="s">
        <v>41</v>
      </c>
      <c r="J26" s="198" t="s">
        <v>42</v>
      </c>
      <c r="K26" s="198" t="s">
        <v>43</v>
      </c>
      <c r="L26" s="198" t="s">
        <v>44</v>
      </c>
      <c r="M26" s="23" t="s">
        <v>45</v>
      </c>
      <c r="N26" s="66" t="s">
        <v>46</v>
      </c>
    </row>
    <row r="27" spans="1:14" hidden="1" outlineLevel="1" x14ac:dyDescent="0.2">
      <c r="A27" s="199" t="s">
        <v>71</v>
      </c>
      <c r="B27" s="200" t="s">
        <v>72</v>
      </c>
      <c r="C27" s="201" t="s">
        <v>62</v>
      </c>
      <c r="D27" s="202">
        <v>1</v>
      </c>
      <c r="E27" s="202">
        <v>0.25</v>
      </c>
      <c r="F27" s="203">
        <v>12</v>
      </c>
      <c r="G27" s="143">
        <v>67485</v>
      </c>
      <c r="H27" s="143">
        <v>16871.25</v>
      </c>
      <c r="I27" s="85">
        <f>G27-H27</f>
        <v>50613.75</v>
      </c>
      <c r="J27" s="204">
        <v>8435.625</v>
      </c>
      <c r="K27" s="204">
        <v>8435.625</v>
      </c>
      <c r="L27" s="205">
        <f t="shared" ref="L27:L64" si="10">SUM(J27:K27)</f>
        <v>16871.25</v>
      </c>
      <c r="M27" s="16">
        <f t="shared" ref="M27:M65" si="11">IFERROR(L27/H27,"N/A")</f>
        <v>1</v>
      </c>
      <c r="N27" s="206">
        <v>62061.979999999996</v>
      </c>
    </row>
    <row r="28" spans="1:14" hidden="1" outlineLevel="1" x14ac:dyDescent="0.2">
      <c r="A28" s="199" t="s">
        <v>73</v>
      </c>
      <c r="B28" s="200" t="s">
        <v>74</v>
      </c>
      <c r="C28" s="201" t="s">
        <v>62</v>
      </c>
      <c r="D28" s="202">
        <v>1</v>
      </c>
      <c r="E28" s="202">
        <v>1</v>
      </c>
      <c r="F28" s="203">
        <v>3</v>
      </c>
      <c r="G28" s="143">
        <v>43196.158719999999</v>
      </c>
      <c r="H28" s="143">
        <v>10537.16</v>
      </c>
      <c r="I28" s="89">
        <f t="shared" ref="I28:I51" si="12">G28-H28</f>
        <v>32658.99872</v>
      </c>
      <c r="J28" s="204">
        <v>10537.82</v>
      </c>
      <c r="K28" s="204">
        <v>0</v>
      </c>
      <c r="L28" s="205">
        <f t="shared" ref="L28:L51" si="13">SUM(J28:K28)</f>
        <v>10537.82</v>
      </c>
      <c r="M28" s="16">
        <f t="shared" ref="M28:M51" si="14">IFERROR(L28/H28,"N/A")</f>
        <v>1.0000626354729358</v>
      </c>
      <c r="N28" s="206">
        <v>1.8189894035458565E-12</v>
      </c>
    </row>
    <row r="29" spans="1:14" hidden="1" outlineLevel="1" x14ac:dyDescent="0.2">
      <c r="A29" s="199" t="s">
        <v>75</v>
      </c>
      <c r="B29" s="200" t="s">
        <v>74</v>
      </c>
      <c r="C29" s="201" t="s">
        <v>62</v>
      </c>
      <c r="D29" s="202">
        <v>1</v>
      </c>
      <c r="E29" s="202">
        <v>1</v>
      </c>
      <c r="F29" s="203">
        <v>12</v>
      </c>
      <c r="G29" s="143">
        <v>46789.599999999999</v>
      </c>
      <c r="H29" s="143">
        <v>15000</v>
      </c>
      <c r="I29" s="89">
        <f t="shared" si="12"/>
        <v>31789.599999999999</v>
      </c>
      <c r="J29" s="204">
        <v>7500</v>
      </c>
      <c r="K29" s="204">
        <v>7500</v>
      </c>
      <c r="L29" s="205">
        <f t="shared" si="13"/>
        <v>15000</v>
      </c>
      <c r="M29" s="16">
        <f t="shared" si="14"/>
        <v>1</v>
      </c>
      <c r="N29" s="206">
        <v>15302.509999999998</v>
      </c>
    </row>
    <row r="30" spans="1:14" hidden="1" outlineLevel="1" x14ac:dyDescent="0.2">
      <c r="A30" s="199" t="s">
        <v>76</v>
      </c>
      <c r="B30" s="200" t="s">
        <v>74</v>
      </c>
      <c r="C30" s="201" t="s">
        <v>62</v>
      </c>
      <c r="D30" s="202">
        <v>1</v>
      </c>
      <c r="E30" s="202">
        <v>1</v>
      </c>
      <c r="F30" s="203">
        <v>10</v>
      </c>
      <c r="G30" s="143">
        <v>43196.158719999999</v>
      </c>
      <c r="H30" s="143">
        <v>35996.798933333332</v>
      </c>
      <c r="I30" s="89">
        <f t="shared" si="12"/>
        <v>7199.3597866666678</v>
      </c>
      <c r="J30" s="204">
        <v>17998.399466666666</v>
      </c>
      <c r="K30" s="204">
        <v>17998.399466666666</v>
      </c>
      <c r="L30" s="205">
        <f t="shared" si="13"/>
        <v>35996.798933333332</v>
      </c>
      <c r="M30" s="16">
        <f t="shared" si="14"/>
        <v>1</v>
      </c>
      <c r="N30" s="206">
        <v>13389.871066666676</v>
      </c>
    </row>
    <row r="31" spans="1:14" hidden="1" outlineLevel="1" x14ac:dyDescent="0.2">
      <c r="A31" s="199" t="s">
        <v>77</v>
      </c>
      <c r="B31" s="200" t="s">
        <v>74</v>
      </c>
      <c r="C31" s="201" t="s">
        <v>62</v>
      </c>
      <c r="D31" s="202">
        <v>1</v>
      </c>
      <c r="E31" s="202">
        <v>1</v>
      </c>
      <c r="F31" s="203">
        <v>12</v>
      </c>
      <c r="G31" s="143">
        <v>43196.158719999999</v>
      </c>
      <c r="H31" s="143">
        <v>0</v>
      </c>
      <c r="I31" s="89">
        <f t="shared" si="12"/>
        <v>43196.158719999999</v>
      </c>
      <c r="J31" s="204">
        <v>0</v>
      </c>
      <c r="K31" s="204">
        <v>0</v>
      </c>
      <c r="L31" s="205">
        <f t="shared" si="13"/>
        <v>0</v>
      </c>
      <c r="M31" s="16" t="str">
        <f t="shared" si="14"/>
        <v>N/A</v>
      </c>
      <c r="N31" s="206">
        <v>52743.049999999988</v>
      </c>
    </row>
    <row r="32" spans="1:14" hidden="1" outlineLevel="1" x14ac:dyDescent="0.2">
      <c r="A32" s="199" t="s">
        <v>78</v>
      </c>
      <c r="B32" s="200" t="s">
        <v>79</v>
      </c>
      <c r="C32" s="201" t="s">
        <v>62</v>
      </c>
      <c r="D32" s="202">
        <v>1</v>
      </c>
      <c r="E32" s="202">
        <v>0.25</v>
      </c>
      <c r="F32" s="203">
        <v>12</v>
      </c>
      <c r="G32" s="143">
        <v>76483</v>
      </c>
      <c r="H32" s="143">
        <v>19120.75</v>
      </c>
      <c r="I32" s="89">
        <f t="shared" si="12"/>
        <v>57362.25</v>
      </c>
      <c r="J32" s="204">
        <v>9560.375</v>
      </c>
      <c r="K32" s="204">
        <v>9560.375</v>
      </c>
      <c r="L32" s="205">
        <f t="shared" si="13"/>
        <v>19120.75</v>
      </c>
      <c r="M32" s="16">
        <f t="shared" si="14"/>
        <v>1</v>
      </c>
      <c r="N32" s="206">
        <v>70629.070000000007</v>
      </c>
    </row>
    <row r="33" spans="1:14" hidden="1" outlineLevel="1" x14ac:dyDescent="0.2">
      <c r="A33" s="199" t="s">
        <v>80</v>
      </c>
      <c r="B33" s="200" t="s">
        <v>79</v>
      </c>
      <c r="C33" s="201" t="s">
        <v>62</v>
      </c>
      <c r="D33" s="202">
        <v>1</v>
      </c>
      <c r="E33" s="202">
        <v>1</v>
      </c>
      <c r="F33" s="203">
        <v>12</v>
      </c>
      <c r="G33" s="143">
        <v>76483</v>
      </c>
      <c r="H33" s="143">
        <v>51779.75</v>
      </c>
      <c r="I33" s="89">
        <f t="shared" si="12"/>
        <v>24703.25</v>
      </c>
      <c r="J33" s="204">
        <v>20620.325000000001</v>
      </c>
      <c r="K33" s="204">
        <v>31158.424999999999</v>
      </c>
      <c r="L33" s="205">
        <f t="shared" si="13"/>
        <v>51778.75</v>
      </c>
      <c r="M33" s="16">
        <f t="shared" si="14"/>
        <v>0.99998068743089719</v>
      </c>
      <c r="N33" s="206">
        <v>35199.500000000029</v>
      </c>
    </row>
    <row r="34" spans="1:14" hidden="1" outlineLevel="1" x14ac:dyDescent="0.2">
      <c r="A34" s="199" t="s">
        <v>81</v>
      </c>
      <c r="B34" s="200" t="s">
        <v>82</v>
      </c>
      <c r="C34" s="201" t="s">
        <v>62</v>
      </c>
      <c r="D34" s="202">
        <v>1</v>
      </c>
      <c r="E34" s="202">
        <v>1</v>
      </c>
      <c r="F34" s="203">
        <v>12</v>
      </c>
      <c r="G34" s="143">
        <v>31816.928</v>
      </c>
      <c r="H34" s="143">
        <v>0</v>
      </c>
      <c r="I34" s="89">
        <f t="shared" si="12"/>
        <v>31816.928</v>
      </c>
      <c r="J34" s="204">
        <v>0</v>
      </c>
      <c r="K34" s="204">
        <v>0</v>
      </c>
      <c r="L34" s="205">
        <f t="shared" si="13"/>
        <v>0</v>
      </c>
      <c r="M34" s="16" t="str">
        <f t="shared" si="14"/>
        <v>N/A</v>
      </c>
      <c r="N34" s="206">
        <v>0</v>
      </c>
    </row>
    <row r="35" spans="1:14" hidden="1" outlineLevel="1" x14ac:dyDescent="0.2">
      <c r="A35" s="199" t="s">
        <v>294</v>
      </c>
      <c r="B35" s="200" t="s">
        <v>83</v>
      </c>
      <c r="C35" s="201" t="s">
        <v>62</v>
      </c>
      <c r="D35" s="202">
        <v>1</v>
      </c>
      <c r="E35" s="202">
        <v>1</v>
      </c>
      <c r="F35" s="203">
        <v>12</v>
      </c>
      <c r="G35" s="143">
        <v>31816.928</v>
      </c>
      <c r="H35" s="143">
        <v>0</v>
      </c>
      <c r="I35" s="89">
        <f t="shared" si="12"/>
        <v>31816.928</v>
      </c>
      <c r="J35" s="204">
        <v>0</v>
      </c>
      <c r="K35" s="204">
        <v>0</v>
      </c>
      <c r="L35" s="205">
        <f t="shared" si="13"/>
        <v>0</v>
      </c>
      <c r="M35" s="16" t="str">
        <f t="shared" si="14"/>
        <v>N/A</v>
      </c>
      <c r="N35" s="206">
        <v>34539.810000000005</v>
      </c>
    </row>
    <row r="36" spans="1:14" hidden="1" outlineLevel="1" x14ac:dyDescent="0.2">
      <c r="A36" s="199" t="s">
        <v>84</v>
      </c>
      <c r="B36" s="200" t="s">
        <v>85</v>
      </c>
      <c r="C36" s="201" t="s">
        <v>62</v>
      </c>
      <c r="D36" s="202">
        <v>1</v>
      </c>
      <c r="E36" s="202">
        <v>1</v>
      </c>
      <c r="F36" s="203">
        <v>12</v>
      </c>
      <c r="G36" s="143">
        <v>58487</v>
      </c>
      <c r="H36" s="143">
        <v>56234.166666666701</v>
      </c>
      <c r="I36" s="89">
        <f t="shared" si="12"/>
        <v>2252.8333333332994</v>
      </c>
      <c r="J36" s="204">
        <v>28117.08333333335</v>
      </c>
      <c r="K36" s="204">
        <v>28117.08333333335</v>
      </c>
      <c r="L36" s="205">
        <f t="shared" si="13"/>
        <v>56234.166666666701</v>
      </c>
      <c r="M36" s="16">
        <f t="shared" si="14"/>
        <v>1</v>
      </c>
      <c r="N36" s="206">
        <v>14989.833333333299</v>
      </c>
    </row>
    <row r="37" spans="1:14" hidden="1" outlineLevel="1" x14ac:dyDescent="0.2">
      <c r="A37" s="199" t="s">
        <v>81</v>
      </c>
      <c r="B37" s="200" t="s">
        <v>85</v>
      </c>
      <c r="C37" s="201" t="s">
        <v>62</v>
      </c>
      <c r="D37" s="202">
        <v>1</v>
      </c>
      <c r="E37" s="202">
        <v>1</v>
      </c>
      <c r="F37" s="203">
        <v>0</v>
      </c>
      <c r="G37" s="143">
        <v>85481</v>
      </c>
      <c r="H37" s="143">
        <v>0</v>
      </c>
      <c r="I37" s="89">
        <f t="shared" si="12"/>
        <v>85481</v>
      </c>
      <c r="J37" s="204">
        <v>0</v>
      </c>
      <c r="K37" s="204">
        <v>0</v>
      </c>
      <c r="L37" s="205">
        <f t="shared" si="13"/>
        <v>0</v>
      </c>
      <c r="M37" s="16" t="str">
        <f t="shared" si="14"/>
        <v>N/A</v>
      </c>
      <c r="N37" s="206">
        <v>0</v>
      </c>
    </row>
    <row r="38" spans="1:14" hidden="1" outlineLevel="1" x14ac:dyDescent="0.2">
      <c r="A38" s="199" t="s">
        <v>86</v>
      </c>
      <c r="B38" s="200" t="s">
        <v>87</v>
      </c>
      <c r="C38" s="201" t="s">
        <v>62</v>
      </c>
      <c r="D38" s="202">
        <v>1</v>
      </c>
      <c r="E38" s="202">
        <v>1</v>
      </c>
      <c r="F38" s="203">
        <v>12</v>
      </c>
      <c r="G38" s="143">
        <v>47238.780160000002</v>
      </c>
      <c r="H38" s="143">
        <v>0</v>
      </c>
      <c r="I38" s="89">
        <f t="shared" si="12"/>
        <v>47238.780160000002</v>
      </c>
      <c r="J38" s="204">
        <v>0</v>
      </c>
      <c r="K38" s="204">
        <v>0</v>
      </c>
      <c r="L38" s="205">
        <f t="shared" si="13"/>
        <v>0</v>
      </c>
      <c r="M38" s="16" t="str">
        <f t="shared" si="14"/>
        <v>N/A</v>
      </c>
      <c r="N38" s="206">
        <v>68996.98</v>
      </c>
    </row>
    <row r="39" spans="1:14" hidden="1" outlineLevel="1" x14ac:dyDescent="0.2">
      <c r="A39" s="199" t="s">
        <v>88</v>
      </c>
      <c r="B39" s="200" t="s">
        <v>89</v>
      </c>
      <c r="C39" s="201" t="s">
        <v>62</v>
      </c>
      <c r="D39" s="202">
        <v>1</v>
      </c>
      <c r="E39" s="202">
        <v>1</v>
      </c>
      <c r="F39" s="203">
        <v>12</v>
      </c>
      <c r="G39" s="143">
        <v>41717.607359999995</v>
      </c>
      <c r="H39" s="143">
        <v>0</v>
      </c>
      <c r="I39" s="89">
        <f t="shared" si="12"/>
        <v>41717.607359999995</v>
      </c>
      <c r="J39" s="204">
        <v>0</v>
      </c>
      <c r="K39" s="204">
        <v>0</v>
      </c>
      <c r="L39" s="205">
        <f t="shared" si="13"/>
        <v>0</v>
      </c>
      <c r="M39" s="16" t="str">
        <f t="shared" si="14"/>
        <v>N/A</v>
      </c>
      <c r="N39" s="206">
        <v>39924.070000000007</v>
      </c>
    </row>
    <row r="40" spans="1:14" hidden="1" outlineLevel="1" x14ac:dyDescent="0.2">
      <c r="A40" s="199" t="s">
        <v>90</v>
      </c>
      <c r="B40" s="200" t="s">
        <v>91</v>
      </c>
      <c r="C40" s="201" t="s">
        <v>62</v>
      </c>
      <c r="D40" s="202">
        <v>1</v>
      </c>
      <c r="E40" s="202">
        <v>0.2</v>
      </c>
      <c r="F40" s="203">
        <v>12</v>
      </c>
      <c r="G40" s="143">
        <v>18895.8</v>
      </c>
      <c r="H40" s="143">
        <v>13491.001333333334</v>
      </c>
      <c r="I40" s="89">
        <f t="shared" si="12"/>
        <v>5404.7986666666657</v>
      </c>
      <c r="J40" s="204">
        <v>6745.5006666666668</v>
      </c>
      <c r="K40" s="204">
        <v>6745.5006666666668</v>
      </c>
      <c r="L40" s="205">
        <f t="shared" si="13"/>
        <v>13491.001333333334</v>
      </c>
      <c r="M40" s="16">
        <f t="shared" si="14"/>
        <v>1</v>
      </c>
      <c r="N40" s="206">
        <v>28278.468666666675</v>
      </c>
    </row>
    <row r="41" spans="1:14" hidden="1" outlineLevel="1" x14ac:dyDescent="0.2">
      <c r="A41" s="199" t="s">
        <v>92</v>
      </c>
      <c r="B41" s="200" t="s">
        <v>93</v>
      </c>
      <c r="C41" s="201" t="s">
        <v>62</v>
      </c>
      <c r="D41" s="202">
        <v>1</v>
      </c>
      <c r="E41" s="202">
        <v>1</v>
      </c>
      <c r="F41" s="203">
        <v>12</v>
      </c>
      <c r="G41" s="143">
        <v>32378.403200000001</v>
      </c>
      <c r="H41" s="143">
        <v>0</v>
      </c>
      <c r="I41" s="89">
        <f t="shared" ref="I41:I50" si="15">G41-H41</f>
        <v>32378.403200000001</v>
      </c>
      <c r="J41" s="204">
        <v>0</v>
      </c>
      <c r="K41" s="204">
        <v>0</v>
      </c>
      <c r="L41" s="205">
        <f t="shared" ref="L41:L50" si="16">SUM(J41:K41)</f>
        <v>0</v>
      </c>
      <c r="M41" s="16" t="str">
        <f t="shared" ref="M41:M50" si="17">IFERROR(L41/H41,"N/A")</f>
        <v>N/A</v>
      </c>
      <c r="N41" s="206">
        <v>5063.880000000001</v>
      </c>
    </row>
    <row r="42" spans="1:14" hidden="1" outlineLevel="1" x14ac:dyDescent="0.2">
      <c r="A42" s="199" t="s">
        <v>94</v>
      </c>
      <c r="B42" s="200" t="s">
        <v>93</v>
      </c>
      <c r="C42" s="201" t="s">
        <v>62</v>
      </c>
      <c r="D42" s="202">
        <v>1</v>
      </c>
      <c r="E42" s="202">
        <v>1</v>
      </c>
      <c r="F42" s="203">
        <v>12</v>
      </c>
      <c r="G42" s="143">
        <v>32378.403200000001</v>
      </c>
      <c r="H42" s="143">
        <v>32378.403200000001</v>
      </c>
      <c r="I42" s="89">
        <f t="shared" si="15"/>
        <v>0</v>
      </c>
      <c r="J42" s="204">
        <v>16189.2016</v>
      </c>
      <c r="K42" s="204">
        <v>16189.2016</v>
      </c>
      <c r="L42" s="205">
        <f t="shared" si="16"/>
        <v>32378.403200000001</v>
      </c>
      <c r="M42" s="16">
        <f t="shared" si="17"/>
        <v>1</v>
      </c>
      <c r="N42" s="206">
        <v>8037.8368000000191</v>
      </c>
    </row>
    <row r="43" spans="1:14" hidden="1" outlineLevel="1" x14ac:dyDescent="0.2">
      <c r="A43" s="199" t="s">
        <v>95</v>
      </c>
      <c r="B43" s="200" t="s">
        <v>93</v>
      </c>
      <c r="C43" s="201" t="s">
        <v>62</v>
      </c>
      <c r="D43" s="202">
        <v>0.5</v>
      </c>
      <c r="E43" s="202">
        <v>1</v>
      </c>
      <c r="F43" s="203">
        <v>12</v>
      </c>
      <c r="G43" s="143">
        <v>16189.2016</v>
      </c>
      <c r="H43" s="143">
        <v>0</v>
      </c>
      <c r="I43" s="89">
        <f t="shared" si="15"/>
        <v>16189.2016</v>
      </c>
      <c r="J43" s="204">
        <v>0</v>
      </c>
      <c r="K43" s="204">
        <v>0</v>
      </c>
      <c r="L43" s="205">
        <f t="shared" si="16"/>
        <v>0</v>
      </c>
      <c r="M43" s="16" t="str">
        <f t="shared" si="17"/>
        <v>N/A</v>
      </c>
      <c r="N43" s="206">
        <v>18436.130000000005</v>
      </c>
    </row>
    <row r="44" spans="1:14" hidden="1" outlineLevel="1" x14ac:dyDescent="0.2">
      <c r="A44" s="199" t="s">
        <v>96</v>
      </c>
      <c r="B44" s="200" t="s">
        <v>93</v>
      </c>
      <c r="C44" s="201" t="s">
        <v>62</v>
      </c>
      <c r="D44" s="202">
        <v>1</v>
      </c>
      <c r="E44" s="202">
        <v>1</v>
      </c>
      <c r="F44" s="203">
        <v>12</v>
      </c>
      <c r="G44" s="143">
        <v>32378.403200000001</v>
      </c>
      <c r="H44" s="143">
        <v>0</v>
      </c>
      <c r="I44" s="89">
        <f t="shared" si="15"/>
        <v>32378.403200000001</v>
      </c>
      <c r="J44" s="204">
        <v>0</v>
      </c>
      <c r="K44" s="204">
        <v>0</v>
      </c>
      <c r="L44" s="205">
        <f t="shared" si="16"/>
        <v>0</v>
      </c>
      <c r="M44" s="16" t="str">
        <f t="shared" si="17"/>
        <v>N/A</v>
      </c>
      <c r="N44" s="206">
        <v>38246.589999999989</v>
      </c>
    </row>
    <row r="45" spans="1:14" hidden="1" outlineLevel="1" x14ac:dyDescent="0.2">
      <c r="A45" s="199" t="s">
        <v>97</v>
      </c>
      <c r="B45" s="200" t="s">
        <v>93</v>
      </c>
      <c r="C45" s="201" t="s">
        <v>62</v>
      </c>
      <c r="D45" s="202">
        <v>1</v>
      </c>
      <c r="E45" s="202">
        <v>1</v>
      </c>
      <c r="F45" s="203">
        <v>0</v>
      </c>
      <c r="G45" s="143">
        <v>32378.403200000001</v>
      </c>
      <c r="H45" s="143">
        <v>0</v>
      </c>
      <c r="I45" s="89">
        <f t="shared" si="15"/>
        <v>32378.403200000001</v>
      </c>
      <c r="J45" s="204">
        <v>0</v>
      </c>
      <c r="K45" s="204">
        <v>0</v>
      </c>
      <c r="L45" s="205">
        <f t="shared" si="16"/>
        <v>0</v>
      </c>
      <c r="M45" s="16" t="str">
        <f t="shared" si="17"/>
        <v>N/A</v>
      </c>
      <c r="N45" s="206">
        <v>870.31</v>
      </c>
    </row>
    <row r="46" spans="1:14" hidden="1" outlineLevel="1" x14ac:dyDescent="0.2">
      <c r="A46" s="199" t="s">
        <v>98</v>
      </c>
      <c r="B46" s="200" t="s">
        <v>93</v>
      </c>
      <c r="C46" s="201" t="s">
        <v>62</v>
      </c>
      <c r="D46" s="202">
        <v>1</v>
      </c>
      <c r="E46" s="202">
        <v>1</v>
      </c>
      <c r="F46" s="203">
        <v>12</v>
      </c>
      <c r="G46" s="143">
        <v>32378.403200000001</v>
      </c>
      <c r="H46" s="143">
        <v>0</v>
      </c>
      <c r="I46" s="89">
        <f t="shared" si="15"/>
        <v>32378.403200000001</v>
      </c>
      <c r="J46" s="204">
        <v>0</v>
      </c>
      <c r="K46" s="204">
        <v>0</v>
      </c>
      <c r="L46" s="205">
        <f t="shared" si="16"/>
        <v>0</v>
      </c>
      <c r="M46" s="16" t="str">
        <f t="shared" si="17"/>
        <v>N/A</v>
      </c>
      <c r="N46" s="206">
        <v>46469.440000000002</v>
      </c>
    </row>
    <row r="47" spans="1:14" hidden="1" outlineLevel="1" x14ac:dyDescent="0.2">
      <c r="A47" s="199" t="s">
        <v>99</v>
      </c>
      <c r="B47" s="200" t="s">
        <v>93</v>
      </c>
      <c r="C47" s="201" t="s">
        <v>62</v>
      </c>
      <c r="D47" s="202">
        <v>1</v>
      </c>
      <c r="E47" s="202">
        <v>0.4</v>
      </c>
      <c r="F47" s="203">
        <v>12</v>
      </c>
      <c r="G47" s="143">
        <v>12951.361280000001</v>
      </c>
      <c r="H47" s="143">
        <v>0</v>
      </c>
      <c r="I47" s="89">
        <f t="shared" si="15"/>
        <v>12951.361280000001</v>
      </c>
      <c r="J47" s="204">
        <v>0</v>
      </c>
      <c r="K47" s="204">
        <v>0</v>
      </c>
      <c r="L47" s="205">
        <f t="shared" si="16"/>
        <v>0</v>
      </c>
      <c r="M47" s="16" t="str">
        <f t="shared" si="17"/>
        <v>N/A</v>
      </c>
      <c r="N47" s="206">
        <v>0</v>
      </c>
    </row>
    <row r="48" spans="1:14" hidden="1" outlineLevel="1" x14ac:dyDescent="0.2">
      <c r="A48" s="199" t="s">
        <v>100</v>
      </c>
      <c r="B48" s="200" t="s">
        <v>93</v>
      </c>
      <c r="C48" s="201" t="s">
        <v>62</v>
      </c>
      <c r="D48" s="202">
        <v>1</v>
      </c>
      <c r="E48" s="202">
        <v>1</v>
      </c>
      <c r="F48" s="203">
        <v>12</v>
      </c>
      <c r="G48" s="143">
        <v>32378.403200000001</v>
      </c>
      <c r="H48" s="143">
        <v>32378.403200000001</v>
      </c>
      <c r="I48" s="89">
        <f t="shared" si="15"/>
        <v>0</v>
      </c>
      <c r="J48" s="204">
        <v>16189.2016</v>
      </c>
      <c r="K48" s="204">
        <v>16189.2016</v>
      </c>
      <c r="L48" s="205">
        <f t="shared" si="16"/>
        <v>32378.403200000001</v>
      </c>
      <c r="M48" s="16">
        <f t="shared" si="17"/>
        <v>1</v>
      </c>
      <c r="N48" s="206">
        <v>12661.726800000019</v>
      </c>
    </row>
    <row r="49" spans="1:14" hidden="1" outlineLevel="1" x14ac:dyDescent="0.2">
      <c r="A49" s="199" t="s">
        <v>101</v>
      </c>
      <c r="B49" s="200" t="s">
        <v>93</v>
      </c>
      <c r="C49" s="201" t="s">
        <v>62</v>
      </c>
      <c r="D49" s="202">
        <v>1</v>
      </c>
      <c r="E49" s="202">
        <v>1</v>
      </c>
      <c r="F49" s="203">
        <v>12</v>
      </c>
      <c r="G49" s="143">
        <v>32378.403200000001</v>
      </c>
      <c r="H49" s="143">
        <v>0</v>
      </c>
      <c r="I49" s="89">
        <f t="shared" si="15"/>
        <v>32378.403200000001</v>
      </c>
      <c r="J49" s="204">
        <v>0</v>
      </c>
      <c r="K49" s="204">
        <v>0</v>
      </c>
      <c r="L49" s="205">
        <f t="shared" si="16"/>
        <v>0</v>
      </c>
      <c r="M49" s="16" t="str">
        <f t="shared" si="17"/>
        <v>N/A</v>
      </c>
      <c r="N49" s="206">
        <v>115.38</v>
      </c>
    </row>
    <row r="50" spans="1:14" hidden="1" outlineLevel="1" x14ac:dyDescent="0.2">
      <c r="A50" s="199" t="s">
        <v>102</v>
      </c>
      <c r="B50" s="200" t="s">
        <v>93</v>
      </c>
      <c r="C50" s="201" t="s">
        <v>62</v>
      </c>
      <c r="D50" s="202">
        <v>1</v>
      </c>
      <c r="E50" s="202">
        <v>1</v>
      </c>
      <c r="F50" s="203">
        <v>0</v>
      </c>
      <c r="G50" s="143">
        <v>32378.403200000001</v>
      </c>
      <c r="H50" s="143">
        <v>0</v>
      </c>
      <c r="I50" s="89">
        <f t="shared" si="15"/>
        <v>32378.403200000001</v>
      </c>
      <c r="J50" s="204">
        <v>0</v>
      </c>
      <c r="K50" s="204">
        <v>0</v>
      </c>
      <c r="L50" s="205">
        <f t="shared" si="16"/>
        <v>0</v>
      </c>
      <c r="M50" s="16" t="str">
        <f t="shared" si="17"/>
        <v>N/A</v>
      </c>
      <c r="N50" s="206">
        <v>2239.5700000000002</v>
      </c>
    </row>
    <row r="51" spans="1:14" hidden="1" outlineLevel="1" x14ac:dyDescent="0.2">
      <c r="A51" s="199" t="s">
        <v>103</v>
      </c>
      <c r="B51" s="200" t="s">
        <v>93</v>
      </c>
      <c r="C51" s="201" t="s">
        <v>62</v>
      </c>
      <c r="D51" s="202">
        <v>1</v>
      </c>
      <c r="E51" s="202">
        <v>1</v>
      </c>
      <c r="F51" s="203">
        <v>12</v>
      </c>
      <c r="G51" s="143">
        <v>32378.403200000001</v>
      </c>
      <c r="H51" s="143">
        <v>32378.403200000001</v>
      </c>
      <c r="I51" s="89">
        <f t="shared" si="12"/>
        <v>0</v>
      </c>
      <c r="J51" s="204">
        <v>16189.2016</v>
      </c>
      <c r="K51" s="204">
        <v>16189.2016</v>
      </c>
      <c r="L51" s="205">
        <f t="shared" si="13"/>
        <v>32378.403200000001</v>
      </c>
      <c r="M51" s="16">
        <f t="shared" si="14"/>
        <v>1</v>
      </c>
      <c r="N51" s="206">
        <v>2474.0768000000098</v>
      </c>
    </row>
    <row r="52" spans="1:14" hidden="1" outlineLevel="1" x14ac:dyDescent="0.2">
      <c r="A52" s="199" t="s">
        <v>104</v>
      </c>
      <c r="B52" s="200" t="s">
        <v>93</v>
      </c>
      <c r="C52" s="201" t="s">
        <v>62</v>
      </c>
      <c r="D52" s="202">
        <v>1</v>
      </c>
      <c r="E52" s="202">
        <v>1</v>
      </c>
      <c r="F52" s="203">
        <v>12</v>
      </c>
      <c r="G52" s="143">
        <v>32378.403200000001</v>
      </c>
      <c r="H52" s="143">
        <v>0</v>
      </c>
      <c r="I52" s="89">
        <f t="shared" ref="I52:I64" si="18">G52-H52</f>
        <v>32378.403200000001</v>
      </c>
      <c r="J52" s="204">
        <v>0</v>
      </c>
      <c r="K52" s="204">
        <v>0</v>
      </c>
      <c r="L52" s="205">
        <f t="shared" si="10"/>
        <v>0</v>
      </c>
      <c r="M52" s="16" t="str">
        <f t="shared" si="11"/>
        <v>N/A</v>
      </c>
      <c r="N52" s="206">
        <v>1178.3</v>
      </c>
    </row>
    <row r="53" spans="1:14" hidden="1" outlineLevel="1" x14ac:dyDescent="0.2">
      <c r="A53" s="199" t="s">
        <v>105</v>
      </c>
      <c r="B53" s="200" t="s">
        <v>93</v>
      </c>
      <c r="C53" s="201" t="s">
        <v>62</v>
      </c>
      <c r="D53" s="202">
        <v>0.5</v>
      </c>
      <c r="E53" s="202">
        <v>1</v>
      </c>
      <c r="F53" s="203">
        <v>12</v>
      </c>
      <c r="G53" s="143">
        <v>16189.2016</v>
      </c>
      <c r="H53" s="143">
        <v>0</v>
      </c>
      <c r="I53" s="89">
        <f t="shared" si="18"/>
        <v>16189.2016</v>
      </c>
      <c r="J53" s="204">
        <v>0</v>
      </c>
      <c r="K53" s="204">
        <v>0</v>
      </c>
      <c r="L53" s="205">
        <f t="shared" si="10"/>
        <v>0</v>
      </c>
      <c r="M53" s="16" t="str">
        <f t="shared" si="11"/>
        <v>N/A</v>
      </c>
      <c r="N53" s="206">
        <v>1704.48</v>
      </c>
    </row>
    <row r="54" spans="1:14" hidden="1" outlineLevel="1" x14ac:dyDescent="0.2">
      <c r="A54" s="199" t="s">
        <v>106</v>
      </c>
      <c r="B54" s="200" t="s">
        <v>93</v>
      </c>
      <c r="C54" s="201" t="s">
        <v>62</v>
      </c>
      <c r="D54" s="202">
        <v>1</v>
      </c>
      <c r="E54" s="202">
        <v>1</v>
      </c>
      <c r="F54" s="203">
        <v>12</v>
      </c>
      <c r="G54" s="143">
        <v>32378.403200000001</v>
      </c>
      <c r="H54" s="143">
        <v>0</v>
      </c>
      <c r="I54" s="89">
        <f t="shared" si="18"/>
        <v>32378.403200000001</v>
      </c>
      <c r="J54" s="204">
        <v>0</v>
      </c>
      <c r="K54" s="204">
        <v>0</v>
      </c>
      <c r="L54" s="205">
        <f t="shared" si="10"/>
        <v>0</v>
      </c>
      <c r="M54" s="16" t="str">
        <f t="shared" si="11"/>
        <v>N/A</v>
      </c>
      <c r="N54" s="206">
        <v>49243.069999999978</v>
      </c>
    </row>
    <row r="55" spans="1:14" hidden="1" outlineLevel="1" x14ac:dyDescent="0.2">
      <c r="A55" s="199" t="s">
        <v>107</v>
      </c>
      <c r="B55" s="200" t="s">
        <v>93</v>
      </c>
      <c r="C55" s="201" t="s">
        <v>62</v>
      </c>
      <c r="D55" s="202">
        <v>0.5</v>
      </c>
      <c r="E55" s="202">
        <v>1</v>
      </c>
      <c r="F55" s="203">
        <v>12</v>
      </c>
      <c r="G55" s="143">
        <v>16189.2016</v>
      </c>
      <c r="H55" s="143">
        <v>0</v>
      </c>
      <c r="I55" s="89">
        <f t="shared" si="18"/>
        <v>16189.2016</v>
      </c>
      <c r="J55" s="204">
        <v>0</v>
      </c>
      <c r="K55" s="204">
        <v>0</v>
      </c>
      <c r="L55" s="205">
        <f t="shared" si="10"/>
        <v>0</v>
      </c>
      <c r="M55" s="16" t="str">
        <f t="shared" si="11"/>
        <v>N/A</v>
      </c>
      <c r="N55" s="206">
        <v>0</v>
      </c>
    </row>
    <row r="56" spans="1:14" hidden="1" outlineLevel="1" x14ac:dyDescent="0.2">
      <c r="A56" s="199" t="s">
        <v>108</v>
      </c>
      <c r="B56" s="200" t="s">
        <v>93</v>
      </c>
      <c r="C56" s="201" t="s">
        <v>62</v>
      </c>
      <c r="D56" s="202">
        <v>1</v>
      </c>
      <c r="E56" s="202">
        <v>1</v>
      </c>
      <c r="F56" s="203">
        <v>12</v>
      </c>
      <c r="G56" s="143">
        <v>32378.403200000001</v>
      </c>
      <c r="H56" s="143">
        <v>0</v>
      </c>
      <c r="I56" s="89">
        <f t="shared" si="18"/>
        <v>32378.403200000001</v>
      </c>
      <c r="J56" s="204">
        <v>0</v>
      </c>
      <c r="K56" s="204">
        <v>0</v>
      </c>
      <c r="L56" s="205">
        <f t="shared" si="10"/>
        <v>0</v>
      </c>
      <c r="M56" s="16" t="str">
        <f t="shared" si="11"/>
        <v>N/A</v>
      </c>
      <c r="N56" s="206">
        <v>56507.970000000074</v>
      </c>
    </row>
    <row r="57" spans="1:14" hidden="1" outlineLevel="1" x14ac:dyDescent="0.2">
      <c r="A57" s="199" t="s">
        <v>109</v>
      </c>
      <c r="B57" s="200" t="s">
        <v>93</v>
      </c>
      <c r="C57" s="201" t="s">
        <v>62</v>
      </c>
      <c r="D57" s="202">
        <v>1</v>
      </c>
      <c r="E57" s="202">
        <v>1</v>
      </c>
      <c r="F57" s="203">
        <v>12</v>
      </c>
      <c r="G57" s="143">
        <v>32378.403200000001</v>
      </c>
      <c r="H57" s="143">
        <v>0</v>
      </c>
      <c r="I57" s="89">
        <f t="shared" si="18"/>
        <v>32378.403200000001</v>
      </c>
      <c r="J57" s="204">
        <v>0</v>
      </c>
      <c r="K57" s="204">
        <v>0</v>
      </c>
      <c r="L57" s="205">
        <f t="shared" si="10"/>
        <v>0</v>
      </c>
      <c r="M57" s="16" t="str">
        <f t="shared" si="11"/>
        <v>N/A</v>
      </c>
      <c r="N57" s="206">
        <v>21762.37</v>
      </c>
    </row>
    <row r="58" spans="1:14" hidden="1" outlineLevel="1" x14ac:dyDescent="0.2">
      <c r="A58" s="199" t="s">
        <v>81</v>
      </c>
      <c r="B58" s="200" t="s">
        <v>110</v>
      </c>
      <c r="C58" s="201" t="s">
        <v>62</v>
      </c>
      <c r="D58" s="202">
        <v>0.5</v>
      </c>
      <c r="E58" s="202">
        <v>1</v>
      </c>
      <c r="F58" s="203">
        <v>5</v>
      </c>
      <c r="G58" s="143">
        <v>16189.2016</v>
      </c>
      <c r="H58" s="143">
        <v>0</v>
      </c>
      <c r="I58" s="89">
        <f t="shared" si="18"/>
        <v>16189.2016</v>
      </c>
      <c r="J58" s="204">
        <v>0</v>
      </c>
      <c r="K58" s="204">
        <v>0</v>
      </c>
      <c r="L58" s="205">
        <f t="shared" si="10"/>
        <v>0</v>
      </c>
      <c r="M58" s="16" t="str">
        <f t="shared" si="11"/>
        <v>N/A</v>
      </c>
      <c r="N58" s="206">
        <v>0</v>
      </c>
    </row>
    <row r="59" spans="1:14" hidden="1" outlineLevel="1" x14ac:dyDescent="0.2">
      <c r="A59" s="199" t="s">
        <v>81</v>
      </c>
      <c r="B59" s="200" t="s">
        <v>111</v>
      </c>
      <c r="C59" s="201" t="s">
        <v>62</v>
      </c>
      <c r="D59" s="202">
        <v>0.4</v>
      </c>
      <c r="E59" s="202">
        <v>1</v>
      </c>
      <c r="F59" s="203">
        <v>6</v>
      </c>
      <c r="G59" s="143">
        <v>12951.361280000001</v>
      </c>
      <c r="H59" s="143">
        <v>0</v>
      </c>
      <c r="I59" s="89">
        <f t="shared" si="18"/>
        <v>12951.361280000001</v>
      </c>
      <c r="J59" s="204">
        <v>0</v>
      </c>
      <c r="K59" s="204">
        <v>0</v>
      </c>
      <c r="L59" s="205">
        <f t="shared" si="10"/>
        <v>0</v>
      </c>
      <c r="M59" s="16" t="str">
        <f t="shared" si="11"/>
        <v>N/A</v>
      </c>
      <c r="N59" s="206">
        <v>0</v>
      </c>
    </row>
    <row r="60" spans="1:14" hidden="1" outlineLevel="1" x14ac:dyDescent="0.2">
      <c r="A60" s="207" t="s">
        <v>112</v>
      </c>
      <c r="B60" s="208" t="s">
        <v>93</v>
      </c>
      <c r="C60" s="209" t="s">
        <v>62</v>
      </c>
      <c r="D60" s="210">
        <v>1</v>
      </c>
      <c r="E60" s="211">
        <v>1</v>
      </c>
      <c r="F60" s="212">
        <v>12</v>
      </c>
      <c r="G60" s="143">
        <v>32378.403200000001</v>
      </c>
      <c r="H60" s="143">
        <v>32378.403200000001</v>
      </c>
      <c r="I60" s="89">
        <f t="shared" si="18"/>
        <v>0</v>
      </c>
      <c r="J60" s="204">
        <v>16189.2016</v>
      </c>
      <c r="K60" s="204">
        <v>16189.2016</v>
      </c>
      <c r="L60" s="205">
        <f t="shared" si="10"/>
        <v>32378.403200000001</v>
      </c>
      <c r="M60" s="16">
        <f t="shared" si="11"/>
        <v>1</v>
      </c>
      <c r="N60" s="206">
        <v>2347.9667999999947</v>
      </c>
    </row>
    <row r="61" spans="1:14" hidden="1" outlineLevel="1" x14ac:dyDescent="0.2">
      <c r="A61" s="207" t="s">
        <v>113</v>
      </c>
      <c r="B61" s="208" t="s">
        <v>93</v>
      </c>
      <c r="C61" s="209" t="s">
        <v>62</v>
      </c>
      <c r="D61" s="210">
        <v>1</v>
      </c>
      <c r="E61" s="211">
        <v>1</v>
      </c>
      <c r="F61" s="212">
        <v>12</v>
      </c>
      <c r="G61" s="143">
        <v>32378.403200000001</v>
      </c>
      <c r="H61" s="143">
        <v>32378.403200000001</v>
      </c>
      <c r="I61" s="89">
        <f t="shared" ref="I61" si="19">G61-H61</f>
        <v>0</v>
      </c>
      <c r="J61" s="204">
        <v>16189.2016</v>
      </c>
      <c r="K61" s="204">
        <v>16189.2016</v>
      </c>
      <c r="L61" s="205">
        <f t="shared" ref="L61" si="20">SUM(J61:K61)</f>
        <v>32378.403200000001</v>
      </c>
      <c r="M61" s="16">
        <f t="shared" ref="M61:M62" si="21">IFERROR(L61/H61,"N/A")</f>
        <v>1</v>
      </c>
      <c r="N61" s="206">
        <v>10659.896800000031</v>
      </c>
    </row>
    <row r="62" spans="1:14" collapsed="1" x14ac:dyDescent="0.2">
      <c r="A62" s="207"/>
      <c r="B62" s="208"/>
      <c r="C62" s="209" t="s">
        <v>62</v>
      </c>
      <c r="D62" s="210">
        <f>SUM(D27:D61)</f>
        <v>32.4</v>
      </c>
      <c r="E62" s="211"/>
      <c r="F62" s="212"/>
      <c r="G62" s="143">
        <f t="shared" ref="G62:L62" si="22">SUM(G27:G61)</f>
        <v>1288618.6966400009</v>
      </c>
      <c r="H62" s="143">
        <f t="shared" si="22"/>
        <v>380922.89293333335</v>
      </c>
      <c r="I62" s="89">
        <f t="shared" si="22"/>
        <v>907695.80370666704</v>
      </c>
      <c r="J62" s="204">
        <f t="shared" si="22"/>
        <v>190461.13646666668</v>
      </c>
      <c r="K62" s="204">
        <f t="shared" si="22"/>
        <v>190461.41646666668</v>
      </c>
      <c r="L62" s="205">
        <f t="shared" si="22"/>
        <v>380922.55293333333</v>
      </c>
      <c r="M62" s="16">
        <f t="shared" si="21"/>
        <v>0.9999991074309097</v>
      </c>
      <c r="N62" s="206">
        <f>SUM(N27:N61)</f>
        <v>714074.13706666674</v>
      </c>
    </row>
    <row r="63" spans="1:14" x14ac:dyDescent="0.2">
      <c r="A63" s="207"/>
      <c r="B63" s="208"/>
      <c r="C63" s="209"/>
      <c r="D63" s="210"/>
      <c r="E63" s="211"/>
      <c r="F63" s="212"/>
      <c r="G63" s="143">
        <v>0</v>
      </c>
      <c r="H63" s="143">
        <v>0</v>
      </c>
      <c r="I63" s="89">
        <f t="shared" si="18"/>
        <v>0</v>
      </c>
      <c r="J63" s="204">
        <v>0</v>
      </c>
      <c r="K63" s="204">
        <v>0</v>
      </c>
      <c r="L63" s="205">
        <f t="shared" si="10"/>
        <v>0</v>
      </c>
      <c r="M63" s="16" t="str">
        <f t="shared" si="11"/>
        <v>N/A</v>
      </c>
      <c r="N63" s="206">
        <v>0</v>
      </c>
    </row>
    <row r="64" spans="1:14" x14ac:dyDescent="0.2">
      <c r="A64" s="207"/>
      <c r="B64" s="208"/>
      <c r="C64" s="209"/>
      <c r="D64" s="210"/>
      <c r="E64" s="211"/>
      <c r="F64" s="212"/>
      <c r="G64" s="143">
        <v>0</v>
      </c>
      <c r="H64" s="143">
        <v>0</v>
      </c>
      <c r="I64" s="89">
        <f t="shared" si="18"/>
        <v>0</v>
      </c>
      <c r="J64" s="204">
        <v>0</v>
      </c>
      <c r="K64" s="204">
        <v>0</v>
      </c>
      <c r="L64" s="205">
        <f t="shared" si="10"/>
        <v>0</v>
      </c>
      <c r="M64" s="16" t="str">
        <f t="shared" si="11"/>
        <v>N/A</v>
      </c>
      <c r="N64" s="206">
        <v>0</v>
      </c>
    </row>
    <row r="65" spans="1:14" ht="13.5" thickBot="1" x14ac:dyDescent="0.25">
      <c r="A65" s="213"/>
      <c r="B65" s="214"/>
      <c r="C65" s="215" t="s">
        <v>114</v>
      </c>
      <c r="D65" s="332">
        <f>D62</f>
        <v>32.4</v>
      </c>
      <c r="E65" s="216"/>
      <c r="F65" s="217"/>
      <c r="G65" s="83">
        <f>SUM(G62)</f>
        <v>1288618.6966400009</v>
      </c>
      <c r="H65" s="83">
        <f t="shared" ref="H65:L65" si="23">SUM(H62)</f>
        <v>380922.89293333335</v>
      </c>
      <c r="I65" s="83">
        <f t="shared" si="23"/>
        <v>907695.80370666704</v>
      </c>
      <c r="J65" s="83">
        <f t="shared" si="23"/>
        <v>190461.13646666668</v>
      </c>
      <c r="K65" s="83">
        <f t="shared" si="23"/>
        <v>190461.41646666668</v>
      </c>
      <c r="L65" s="83">
        <f t="shared" si="23"/>
        <v>380922.55293333333</v>
      </c>
      <c r="M65" s="67">
        <f t="shared" si="11"/>
        <v>0.9999991074309097</v>
      </c>
      <c r="N65" s="84">
        <f>SUM(N62)</f>
        <v>714074.13706666674</v>
      </c>
    </row>
    <row r="66" spans="1:14" ht="13.5" thickBot="1" x14ac:dyDescent="0.25"/>
    <row r="67" spans="1:14" x14ac:dyDescent="0.2">
      <c r="A67" s="218" t="s">
        <v>115</v>
      </c>
      <c r="B67" s="219"/>
      <c r="C67" s="219"/>
      <c r="D67" s="219"/>
      <c r="E67" s="219"/>
      <c r="F67" s="220"/>
      <c r="G67" s="221"/>
      <c r="H67" s="221"/>
      <c r="I67" s="221"/>
      <c r="J67" s="221"/>
      <c r="K67" s="221"/>
      <c r="L67" s="221"/>
      <c r="M67" s="4"/>
      <c r="N67" s="3"/>
    </row>
    <row r="68" spans="1:14" s="195" customFormat="1" ht="11.25" x14ac:dyDescent="0.2">
      <c r="A68" s="222" t="s">
        <v>116</v>
      </c>
      <c r="B68" s="192"/>
      <c r="C68" s="192"/>
      <c r="D68" s="192"/>
      <c r="E68" s="192"/>
      <c r="F68" s="193"/>
      <c r="G68" s="194"/>
      <c r="H68" s="194"/>
      <c r="I68" s="194"/>
      <c r="J68" s="194"/>
      <c r="K68" s="194"/>
      <c r="L68" s="194"/>
      <c r="M68" s="6"/>
      <c r="N68" s="5"/>
    </row>
    <row r="69" spans="1:14" ht="33.75" x14ac:dyDescent="0.2">
      <c r="A69" s="223" t="s">
        <v>117</v>
      </c>
      <c r="B69" s="224"/>
      <c r="C69" s="225"/>
      <c r="D69" s="225"/>
      <c r="E69" s="225"/>
      <c r="F69" s="225"/>
      <c r="G69" s="198" t="s">
        <v>39</v>
      </c>
      <c r="H69" s="198" t="s">
        <v>40</v>
      </c>
      <c r="I69" s="198" t="s">
        <v>41</v>
      </c>
      <c r="J69" s="198" t="s">
        <v>42</v>
      </c>
      <c r="K69" s="198" t="s">
        <v>43</v>
      </c>
      <c r="L69" s="198" t="s">
        <v>44</v>
      </c>
      <c r="M69" s="23" t="s">
        <v>45</v>
      </c>
      <c r="N69" s="24" t="s">
        <v>46</v>
      </c>
    </row>
    <row r="70" spans="1:14" x14ac:dyDescent="0.2">
      <c r="A70" s="226" t="s">
        <v>118</v>
      </c>
      <c r="B70" s="227" t="s">
        <v>119</v>
      </c>
      <c r="C70" s="144">
        <f>H70/$H$65</f>
        <v>3.4700000000000002E-2</v>
      </c>
      <c r="D70" s="228"/>
      <c r="E70" s="229"/>
      <c r="F70" s="230"/>
      <c r="G70" s="145">
        <v>41506.017446432001</v>
      </c>
      <c r="H70" s="145">
        <f>H65*0.0347</f>
        <v>13218.024384786668</v>
      </c>
      <c r="I70" s="85">
        <f t="shared" ref="I70" si="24">G70-H70</f>
        <v>28287.993061645335</v>
      </c>
      <c r="J70" s="204">
        <v>6609.0121701853341</v>
      </c>
      <c r="K70" s="204">
        <v>6609.0122146013337</v>
      </c>
      <c r="L70" s="85">
        <f>SUM(J70:K70)</f>
        <v>13218.024384786668</v>
      </c>
      <c r="M70" s="16">
        <f>IFERROR(L70/H70,"N/A")</f>
        <v>1</v>
      </c>
      <c r="N70" s="231">
        <v>52944.920000000071</v>
      </c>
    </row>
    <row r="71" spans="1:14" x14ac:dyDescent="0.2">
      <c r="A71" s="232" t="s">
        <v>120</v>
      </c>
      <c r="B71" s="227" t="s">
        <v>121</v>
      </c>
      <c r="C71" s="144">
        <f t="shared" ref="C71:C73" si="25">H71/$H$65</f>
        <v>6.7999999999999996E-3</v>
      </c>
      <c r="D71" s="228"/>
      <c r="E71" s="229"/>
      <c r="F71" s="230"/>
      <c r="G71" s="145">
        <v>9660</v>
      </c>
      <c r="H71" s="145">
        <f>H65*0.0068</f>
        <v>2590.2756719466665</v>
      </c>
      <c r="I71" s="89">
        <f t="shared" ref="I71:I75" si="26">G71-H71</f>
        <v>7069.724328053333</v>
      </c>
      <c r="J71" s="204">
        <v>965.39</v>
      </c>
      <c r="K71" s="204">
        <v>237.9799999999999</v>
      </c>
      <c r="L71" s="89">
        <f t="shared" ref="L71:L75" si="27">SUM(J71:K71)</f>
        <v>1203.3699999999999</v>
      </c>
      <c r="M71" s="15">
        <f t="shared" ref="M71:M75" si="28">IFERROR(L71/H71,"N/A")</f>
        <v>0.46457217393221811</v>
      </c>
      <c r="N71" s="231">
        <v>1379.52</v>
      </c>
    </row>
    <row r="72" spans="1:14" ht="38.25" x14ac:dyDescent="0.2">
      <c r="A72" s="232" t="s">
        <v>122</v>
      </c>
      <c r="B72" s="233" t="s">
        <v>123</v>
      </c>
      <c r="C72" s="144">
        <f t="shared" si="25"/>
        <v>0.1203</v>
      </c>
      <c r="D72" s="228"/>
      <c r="E72" s="229"/>
      <c r="F72" s="230"/>
      <c r="G72" s="145">
        <v>143321.55782399999</v>
      </c>
      <c r="H72" s="145">
        <f>H65*0.1203</f>
        <v>45825.024019880002</v>
      </c>
      <c r="I72" s="89">
        <f t="shared" si="26"/>
        <v>97496.533804119987</v>
      </c>
      <c r="J72" s="204">
        <v>23243.011932948004</v>
      </c>
      <c r="K72" s="204">
        <v>23969.012086931998</v>
      </c>
      <c r="L72" s="89">
        <f t="shared" si="27"/>
        <v>47212.024019880002</v>
      </c>
      <c r="M72" s="15">
        <f t="shared" si="28"/>
        <v>1.0302673054660765</v>
      </c>
      <c r="N72" s="231">
        <v>140208.14999999962</v>
      </c>
    </row>
    <row r="73" spans="1:14" x14ac:dyDescent="0.2">
      <c r="A73" s="232" t="s">
        <v>124</v>
      </c>
      <c r="B73" s="227" t="s">
        <v>125</v>
      </c>
      <c r="C73" s="144">
        <f t="shared" si="25"/>
        <v>7.6499999999999999E-2</v>
      </c>
      <c r="D73" s="228"/>
      <c r="E73" s="229"/>
      <c r="F73" s="230"/>
      <c r="G73" s="145">
        <v>93625.434603360001</v>
      </c>
      <c r="H73" s="145">
        <f>H65*0.0765</f>
        <v>29140.601309400001</v>
      </c>
      <c r="I73" s="89">
        <f t="shared" si="26"/>
        <v>64484.83329396</v>
      </c>
      <c r="J73" s="204">
        <v>14570.300605740002</v>
      </c>
      <c r="K73" s="204">
        <v>14570.300703659999</v>
      </c>
      <c r="L73" s="89">
        <f t="shared" si="27"/>
        <v>29140.601309400001</v>
      </c>
      <c r="M73" s="15">
        <f t="shared" si="28"/>
        <v>1</v>
      </c>
      <c r="N73" s="231">
        <v>105328.51999999992</v>
      </c>
    </row>
    <row r="74" spans="1:14" x14ac:dyDescent="0.2">
      <c r="A74" s="232"/>
      <c r="B74" s="227"/>
      <c r="C74" s="146"/>
      <c r="D74" s="228"/>
      <c r="E74" s="229"/>
      <c r="F74" s="230"/>
      <c r="G74" s="145">
        <v>0</v>
      </c>
      <c r="H74" s="145">
        <v>0</v>
      </c>
      <c r="I74" s="89">
        <f t="shared" si="26"/>
        <v>0</v>
      </c>
      <c r="J74" s="204">
        <v>0</v>
      </c>
      <c r="K74" s="234">
        <v>0</v>
      </c>
      <c r="L74" s="89">
        <f t="shared" si="27"/>
        <v>0</v>
      </c>
      <c r="M74" s="15" t="str">
        <f t="shared" si="28"/>
        <v>N/A</v>
      </c>
      <c r="N74" s="231">
        <v>0</v>
      </c>
    </row>
    <row r="75" spans="1:14" x14ac:dyDescent="0.2">
      <c r="A75" s="232"/>
      <c r="B75" s="227"/>
      <c r="C75" s="146"/>
      <c r="D75" s="228"/>
      <c r="E75" s="229"/>
      <c r="F75" s="230"/>
      <c r="G75" s="145">
        <v>0</v>
      </c>
      <c r="H75" s="145">
        <v>0</v>
      </c>
      <c r="I75" s="89">
        <f t="shared" si="26"/>
        <v>0</v>
      </c>
      <c r="J75" s="204">
        <v>0</v>
      </c>
      <c r="K75" s="234">
        <v>0</v>
      </c>
      <c r="L75" s="89">
        <f t="shared" si="27"/>
        <v>0</v>
      </c>
      <c r="M75" s="15" t="str">
        <f t="shared" si="28"/>
        <v>N/A</v>
      </c>
      <c r="N75" s="231">
        <v>0</v>
      </c>
    </row>
    <row r="76" spans="1:14" ht="13.5" thickBot="1" x14ac:dyDescent="0.25">
      <c r="A76" s="186"/>
      <c r="B76" s="183"/>
      <c r="C76" s="235" t="s">
        <v>126</v>
      </c>
      <c r="D76" s="236"/>
      <c r="E76" s="236"/>
      <c r="F76" s="237"/>
      <c r="G76" s="90">
        <f t="shared" ref="G76:L76" si="29">SUM(G70:G75)</f>
        <v>288113.00987379201</v>
      </c>
      <c r="H76" s="90">
        <f t="shared" si="29"/>
        <v>90773.925386013347</v>
      </c>
      <c r="I76" s="90">
        <f t="shared" si="29"/>
        <v>197339.08448777863</v>
      </c>
      <c r="J76" s="90">
        <f t="shared" si="29"/>
        <v>45387.71470887334</v>
      </c>
      <c r="K76" s="90">
        <f t="shared" si="29"/>
        <v>45386.305005193331</v>
      </c>
      <c r="L76" s="90">
        <f t="shared" si="29"/>
        <v>90774.019714066671</v>
      </c>
      <c r="M76" s="25">
        <f>IFERROR(L76/H76,"N/A")</f>
        <v>1.0000010391536218</v>
      </c>
      <c r="N76" s="91">
        <f>SUM(N70:N75)</f>
        <v>299861.10999999958</v>
      </c>
    </row>
    <row r="77" spans="1:14" ht="13.5" thickBot="1" x14ac:dyDescent="0.25"/>
    <row r="78" spans="1:14" s="195" customFormat="1" x14ac:dyDescent="0.2">
      <c r="A78" s="218" t="s">
        <v>127</v>
      </c>
      <c r="B78" s="219"/>
      <c r="C78" s="219"/>
      <c r="D78" s="219"/>
      <c r="E78" s="219"/>
      <c r="F78" s="220"/>
      <c r="G78" s="221"/>
      <c r="H78" s="221"/>
      <c r="I78" s="221"/>
      <c r="J78" s="221"/>
      <c r="K78" s="221"/>
      <c r="L78" s="221"/>
      <c r="M78" s="4"/>
      <c r="N78" s="3"/>
    </row>
    <row r="79" spans="1:14" s="195" customFormat="1" ht="11.25" x14ac:dyDescent="0.2">
      <c r="A79" s="222" t="s">
        <v>128</v>
      </c>
      <c r="B79" s="192"/>
      <c r="C79" s="192"/>
      <c r="D79" s="192"/>
      <c r="E79" s="192"/>
      <c r="F79" s="193"/>
      <c r="G79" s="194"/>
      <c r="H79" s="194"/>
      <c r="I79" s="194"/>
      <c r="J79" s="194"/>
      <c r="K79" s="194"/>
      <c r="L79" s="194"/>
      <c r="M79" s="6"/>
      <c r="N79" s="5"/>
    </row>
    <row r="80" spans="1:14" ht="33.75" x14ac:dyDescent="0.2">
      <c r="A80" s="223" t="s">
        <v>117</v>
      </c>
      <c r="B80" s="224"/>
      <c r="C80" s="225"/>
      <c r="D80" s="225"/>
      <c r="E80" s="225"/>
      <c r="F80" s="225"/>
      <c r="G80" s="198" t="s">
        <v>39</v>
      </c>
      <c r="H80" s="198" t="s">
        <v>40</v>
      </c>
      <c r="I80" s="198" t="s">
        <v>41</v>
      </c>
      <c r="J80" s="198" t="s">
        <v>42</v>
      </c>
      <c r="K80" s="198" t="s">
        <v>43</v>
      </c>
      <c r="L80" s="198" t="s">
        <v>44</v>
      </c>
      <c r="M80" s="23" t="s">
        <v>45</v>
      </c>
      <c r="N80" s="24" t="s">
        <v>46</v>
      </c>
    </row>
    <row r="81" spans="1:14" ht="25.5" x14ac:dyDescent="0.2">
      <c r="A81" s="226" t="s">
        <v>129</v>
      </c>
      <c r="B81" s="233" t="s">
        <v>130</v>
      </c>
      <c r="C81" s="147">
        <f>H81/12</f>
        <v>0</v>
      </c>
      <c r="D81" s="238"/>
      <c r="E81" s="239"/>
      <c r="F81" s="230"/>
      <c r="G81" s="145">
        <v>388</v>
      </c>
      <c r="H81" s="145">
        <v>0</v>
      </c>
      <c r="I81" s="85">
        <f>G81-H81</f>
        <v>388</v>
      </c>
      <c r="J81" s="204">
        <v>0</v>
      </c>
      <c r="K81" s="204">
        <v>0</v>
      </c>
      <c r="L81" s="85">
        <f>SUM(J81:K81)</f>
        <v>0</v>
      </c>
      <c r="M81" s="16" t="str">
        <f>IFERROR(L81/H81,"N/A")</f>
        <v>N/A</v>
      </c>
      <c r="N81" s="231">
        <v>156.92000000000002</v>
      </c>
    </row>
    <row r="82" spans="1:14" x14ac:dyDescent="0.2">
      <c r="A82" s="232"/>
      <c r="B82" s="227"/>
      <c r="C82" s="144"/>
      <c r="D82" s="238"/>
      <c r="E82" s="239"/>
      <c r="F82" s="230"/>
      <c r="G82" s="145">
        <v>0</v>
      </c>
      <c r="H82" s="145">
        <v>0</v>
      </c>
      <c r="I82" s="89">
        <f t="shared" ref="I82:I83" si="30">G82-H82</f>
        <v>0</v>
      </c>
      <c r="J82" s="204">
        <v>0</v>
      </c>
      <c r="K82" s="234">
        <v>0</v>
      </c>
      <c r="L82" s="89">
        <f t="shared" ref="L82:L83" si="31">SUM(J82:K82)</f>
        <v>0</v>
      </c>
      <c r="M82" s="15" t="str">
        <f t="shared" ref="M82:M83" si="32">IFERROR(L82/H82,"N/A")</f>
        <v>N/A</v>
      </c>
      <c r="N82" s="231">
        <v>0</v>
      </c>
    </row>
    <row r="83" spans="1:14" x14ac:dyDescent="0.2">
      <c r="A83" s="232"/>
      <c r="B83" s="233"/>
      <c r="C83" s="144"/>
      <c r="D83" s="238"/>
      <c r="E83" s="239"/>
      <c r="F83" s="230"/>
      <c r="G83" s="145">
        <v>0</v>
      </c>
      <c r="H83" s="145">
        <v>0</v>
      </c>
      <c r="I83" s="92">
        <f t="shared" si="30"/>
        <v>0</v>
      </c>
      <c r="J83" s="240">
        <v>0</v>
      </c>
      <c r="K83" s="240">
        <v>0</v>
      </c>
      <c r="L83" s="89">
        <f t="shared" si="31"/>
        <v>0</v>
      </c>
      <c r="M83" s="15" t="str">
        <f t="shared" si="32"/>
        <v>N/A</v>
      </c>
      <c r="N83" s="231">
        <v>0</v>
      </c>
    </row>
    <row r="84" spans="1:14" ht="13.5" thickBot="1" x14ac:dyDescent="0.25">
      <c r="A84" s="186"/>
      <c r="B84" s="183"/>
      <c r="C84" s="235" t="s">
        <v>131</v>
      </c>
      <c r="D84" s="236"/>
      <c r="E84" s="236"/>
      <c r="F84" s="237"/>
      <c r="G84" s="90">
        <f t="shared" ref="G84:L84" si="33">SUM(G81:G83)</f>
        <v>388</v>
      </c>
      <c r="H84" s="90">
        <f t="shared" si="33"/>
        <v>0</v>
      </c>
      <c r="I84" s="90">
        <f t="shared" si="33"/>
        <v>388</v>
      </c>
      <c r="J84" s="90">
        <f t="shared" si="33"/>
        <v>0</v>
      </c>
      <c r="K84" s="90">
        <f t="shared" si="33"/>
        <v>0</v>
      </c>
      <c r="L84" s="90">
        <f t="shared" si="33"/>
        <v>0</v>
      </c>
      <c r="M84" s="25" t="str">
        <f>IFERROR(L84/H84,"N/A")</f>
        <v>N/A</v>
      </c>
      <c r="N84" s="91">
        <f>SUM(N81:N83)</f>
        <v>156.92000000000002</v>
      </c>
    </row>
    <row r="85" spans="1:14" ht="13.5" thickBot="1" x14ac:dyDescent="0.25"/>
    <row r="86" spans="1:14" s="195" customFormat="1" x14ac:dyDescent="0.2">
      <c r="A86" s="241" t="s">
        <v>132</v>
      </c>
      <c r="B86" s="219"/>
      <c r="C86" s="219"/>
      <c r="D86" s="219"/>
      <c r="E86" s="219"/>
      <c r="F86" s="220"/>
      <c r="G86" s="221"/>
      <c r="H86" s="221"/>
      <c r="I86" s="221"/>
      <c r="J86" s="221"/>
      <c r="K86" s="221"/>
      <c r="L86" s="221"/>
      <c r="M86" s="4"/>
      <c r="N86" s="3"/>
    </row>
    <row r="87" spans="1:14" x14ac:dyDescent="0.2">
      <c r="A87" s="222" t="s">
        <v>133</v>
      </c>
      <c r="B87" s="192"/>
      <c r="C87" s="192"/>
      <c r="D87" s="192"/>
      <c r="E87" s="192"/>
      <c r="F87" s="193"/>
      <c r="G87" s="194"/>
      <c r="H87" s="194"/>
      <c r="I87" s="194"/>
      <c r="J87" s="194"/>
      <c r="K87" s="194"/>
      <c r="L87" s="194"/>
      <c r="M87" s="6"/>
      <c r="N87" s="5"/>
    </row>
    <row r="88" spans="1:14" ht="33.75" x14ac:dyDescent="0.2">
      <c r="A88" s="223" t="s">
        <v>117</v>
      </c>
      <c r="B88" s="224"/>
      <c r="C88" s="225"/>
      <c r="D88" s="225"/>
      <c r="E88" s="225"/>
      <c r="F88" s="225"/>
      <c r="G88" s="198" t="s">
        <v>39</v>
      </c>
      <c r="H88" s="198" t="s">
        <v>40</v>
      </c>
      <c r="I88" s="198" t="s">
        <v>41</v>
      </c>
      <c r="J88" s="198" t="s">
        <v>42</v>
      </c>
      <c r="K88" s="198" t="s">
        <v>43</v>
      </c>
      <c r="L88" s="198" t="s">
        <v>44</v>
      </c>
      <c r="M88" s="23" t="s">
        <v>45</v>
      </c>
      <c r="N88" s="24" t="s">
        <v>46</v>
      </c>
    </row>
    <row r="89" spans="1:14" ht="25.5" x14ac:dyDescent="0.2">
      <c r="A89" s="242" t="s">
        <v>134</v>
      </c>
      <c r="B89" s="243" t="s">
        <v>135</v>
      </c>
      <c r="C89" s="147">
        <f>H89/12</f>
        <v>2892.6220833333332</v>
      </c>
      <c r="D89" s="238"/>
      <c r="E89" s="239"/>
      <c r="F89" s="230"/>
      <c r="G89" s="145">
        <f>119243.4</f>
        <v>119243.4</v>
      </c>
      <c r="H89" s="145">
        <f>39711.465-5000</f>
        <v>34711.464999999997</v>
      </c>
      <c r="I89" s="85">
        <f t="shared" ref="I89:I107" si="34">G89-H89</f>
        <v>84531.934999999998</v>
      </c>
      <c r="J89" s="204">
        <v>17355.732499999998</v>
      </c>
      <c r="K89" s="204">
        <v>17355.732499999998</v>
      </c>
      <c r="L89" s="85">
        <f>SUM(J89:K89)</f>
        <v>34711.464999999997</v>
      </c>
      <c r="M89" s="16">
        <f>IFERROR(L89/H89,"N/A")</f>
        <v>1</v>
      </c>
      <c r="N89" s="231">
        <v>109148.40999999999</v>
      </c>
    </row>
    <row r="90" spans="1:14" ht="38.25" x14ac:dyDescent="0.2">
      <c r="A90" s="242" t="s">
        <v>136</v>
      </c>
      <c r="B90" s="243" t="s">
        <v>137</v>
      </c>
      <c r="C90" s="147">
        <f t="shared" ref="C90:C105" si="35">H90/12</f>
        <v>2551.1058333333335</v>
      </c>
      <c r="D90" s="238"/>
      <c r="E90" s="239"/>
      <c r="F90" s="230"/>
      <c r="G90" s="145">
        <f>99741.1</f>
        <v>99741.1</v>
      </c>
      <c r="H90" s="145">
        <f>32613.27-2000</f>
        <v>30613.27</v>
      </c>
      <c r="I90" s="89">
        <f t="shared" si="34"/>
        <v>69127.83</v>
      </c>
      <c r="J90" s="204">
        <v>0</v>
      </c>
      <c r="K90" s="204">
        <v>30613.27</v>
      </c>
      <c r="L90" s="89">
        <f>SUM(J90:K90)</f>
        <v>30613.27</v>
      </c>
      <c r="M90" s="15">
        <f>IFERROR(L90/H90,"N/A")</f>
        <v>1</v>
      </c>
      <c r="N90" s="231">
        <v>60209.880000000005</v>
      </c>
    </row>
    <row r="91" spans="1:14" ht="25.5" x14ac:dyDescent="0.2">
      <c r="A91" s="242" t="s">
        <v>138</v>
      </c>
      <c r="B91" s="243" t="s">
        <v>139</v>
      </c>
      <c r="C91" s="147">
        <f t="shared" si="35"/>
        <v>719.98250000000007</v>
      </c>
      <c r="D91" s="238"/>
      <c r="E91" s="239"/>
      <c r="F91" s="230"/>
      <c r="G91" s="145">
        <v>68405.804999999993</v>
      </c>
      <c r="H91" s="145">
        <f>11639.79-3000</f>
        <v>8639.7900000000009</v>
      </c>
      <c r="I91" s="85">
        <f t="shared" si="34"/>
        <v>59766.014999999992</v>
      </c>
      <c r="J91" s="204">
        <v>4319.8950000000004</v>
      </c>
      <c r="K91" s="204">
        <v>4319.8950000000004</v>
      </c>
      <c r="L91" s="85">
        <f t="shared" ref="L91:L105" si="36">SUM(J91:K91)</f>
        <v>8639.7900000000009</v>
      </c>
      <c r="M91" s="16">
        <f t="shared" ref="M91:M105" si="37">IFERROR(L91/H91,"N/A")</f>
        <v>1</v>
      </c>
      <c r="N91" s="231">
        <v>47926.5</v>
      </c>
    </row>
    <row r="92" spans="1:14" x14ac:dyDescent="0.2">
      <c r="A92" s="242" t="s">
        <v>140</v>
      </c>
      <c r="B92" s="243"/>
      <c r="C92" s="147"/>
      <c r="D92" s="238"/>
      <c r="E92" s="239"/>
      <c r="F92" s="230"/>
      <c r="G92" s="145">
        <v>1391</v>
      </c>
      <c r="H92" s="145">
        <v>0</v>
      </c>
      <c r="I92" s="85">
        <f t="shared" ref="I92:I98" si="38">G92-H92</f>
        <v>1391</v>
      </c>
      <c r="J92" s="204">
        <v>0</v>
      </c>
      <c r="K92" s="204">
        <v>0</v>
      </c>
      <c r="L92" s="85">
        <f t="shared" ref="L92:L98" si="39">SUM(J92:K92)</f>
        <v>0</v>
      </c>
      <c r="M92" s="16" t="str">
        <f t="shared" ref="M92:M98" si="40">IFERROR(L92/H92,"N/A")</f>
        <v>N/A</v>
      </c>
      <c r="N92" s="231">
        <v>0</v>
      </c>
    </row>
    <row r="93" spans="1:14" ht="51" x14ac:dyDescent="0.2">
      <c r="A93" s="242" t="s">
        <v>141</v>
      </c>
      <c r="B93" s="243" t="s">
        <v>142</v>
      </c>
      <c r="C93" s="147">
        <f t="shared" si="35"/>
        <v>175.48000000000002</v>
      </c>
      <c r="D93" s="238"/>
      <c r="E93" s="239"/>
      <c r="F93" s="230"/>
      <c r="G93" s="145">
        <v>5769.4049999999997</v>
      </c>
      <c r="H93" s="145">
        <v>2105.7600000000002</v>
      </c>
      <c r="I93" s="85">
        <f t="shared" si="38"/>
        <v>3663.6449999999995</v>
      </c>
      <c r="J93" s="204">
        <v>1052.8800000000001</v>
      </c>
      <c r="K93" s="204">
        <v>922.94999999999914</v>
      </c>
      <c r="L93" s="85">
        <f t="shared" si="39"/>
        <v>1975.8299999999992</v>
      </c>
      <c r="M93" s="16">
        <f t="shared" si="40"/>
        <v>0.93829781171643445</v>
      </c>
      <c r="N93" s="231">
        <v>4187.5199999999995</v>
      </c>
    </row>
    <row r="94" spans="1:14" ht="25.5" x14ac:dyDescent="0.2">
      <c r="A94" s="242" t="s">
        <v>143</v>
      </c>
      <c r="B94" s="243" t="s">
        <v>130</v>
      </c>
      <c r="C94" s="147">
        <f t="shared" si="35"/>
        <v>393.33458333333328</v>
      </c>
      <c r="D94" s="238"/>
      <c r="E94" s="239"/>
      <c r="F94" s="230"/>
      <c r="G94" s="145">
        <f>13465.185</f>
        <v>13465.184999999999</v>
      </c>
      <c r="H94" s="145">
        <f>8220.015-3500</f>
        <v>4720.0149999999994</v>
      </c>
      <c r="I94" s="92">
        <f t="shared" si="38"/>
        <v>8745.17</v>
      </c>
      <c r="J94" s="204">
        <v>2360.0074999999997</v>
      </c>
      <c r="K94" s="204">
        <v>2360.0074999999997</v>
      </c>
      <c r="L94" s="89">
        <f t="shared" si="39"/>
        <v>4720.0149999999994</v>
      </c>
      <c r="M94" s="15">
        <f t="shared" si="40"/>
        <v>1</v>
      </c>
      <c r="N94" s="231">
        <v>22625.190000000002</v>
      </c>
    </row>
    <row r="95" spans="1:14" ht="25.5" x14ac:dyDescent="0.2">
      <c r="A95" s="242" t="s">
        <v>144</v>
      </c>
      <c r="B95" s="243" t="s">
        <v>130</v>
      </c>
      <c r="C95" s="147">
        <f>H95/12</f>
        <v>832.51749999999993</v>
      </c>
      <c r="D95" s="238"/>
      <c r="E95" s="239"/>
      <c r="F95" s="230"/>
      <c r="G95" s="145">
        <v>32004.075000000001</v>
      </c>
      <c r="H95" s="145">
        <f>11490.21-1500</f>
        <v>9990.2099999999991</v>
      </c>
      <c r="I95" s="92">
        <f t="shared" si="38"/>
        <v>22013.865000000002</v>
      </c>
      <c r="J95" s="204">
        <v>4995.1049999999996</v>
      </c>
      <c r="K95" s="204">
        <v>4995.1049999999996</v>
      </c>
      <c r="L95" s="89">
        <f t="shared" si="39"/>
        <v>9990.2099999999991</v>
      </c>
      <c r="M95" s="15">
        <f t="shared" si="40"/>
        <v>1</v>
      </c>
      <c r="N95" s="231">
        <v>25847.320000000022</v>
      </c>
    </row>
    <row r="96" spans="1:14" ht="25.5" x14ac:dyDescent="0.2">
      <c r="A96" s="242" t="s">
        <v>145</v>
      </c>
      <c r="B96" s="243" t="s">
        <v>130</v>
      </c>
      <c r="C96" s="147">
        <f>H96/12</f>
        <v>0</v>
      </c>
      <c r="D96" s="238"/>
      <c r="E96" s="239"/>
      <c r="F96" s="230"/>
      <c r="G96" s="145">
        <v>139.99499999999998</v>
      </c>
      <c r="H96" s="145">
        <v>0</v>
      </c>
      <c r="I96" s="92">
        <f t="shared" si="38"/>
        <v>139.99499999999998</v>
      </c>
      <c r="J96" s="204">
        <v>0</v>
      </c>
      <c r="K96" s="204">
        <v>0</v>
      </c>
      <c r="L96" s="89">
        <f t="shared" si="39"/>
        <v>0</v>
      </c>
      <c r="M96" s="15" t="str">
        <f t="shared" si="40"/>
        <v>N/A</v>
      </c>
      <c r="N96" s="231">
        <v>14071.499999999995</v>
      </c>
    </row>
    <row r="97" spans="1:14" ht="25.5" x14ac:dyDescent="0.2">
      <c r="A97" s="242" t="s">
        <v>146</v>
      </c>
      <c r="B97" s="243" t="s">
        <v>130</v>
      </c>
      <c r="C97" s="147"/>
      <c r="D97" s="238"/>
      <c r="E97" s="239"/>
      <c r="F97" s="230"/>
      <c r="G97" s="145">
        <v>0</v>
      </c>
      <c r="H97" s="145">
        <v>0</v>
      </c>
      <c r="I97" s="92">
        <f t="shared" si="38"/>
        <v>0</v>
      </c>
      <c r="J97" s="204">
        <v>0</v>
      </c>
      <c r="K97" s="204">
        <v>0</v>
      </c>
      <c r="L97" s="89">
        <f t="shared" si="39"/>
        <v>0</v>
      </c>
      <c r="M97" s="15" t="str">
        <f t="shared" si="40"/>
        <v>N/A</v>
      </c>
      <c r="N97" s="231">
        <v>0</v>
      </c>
    </row>
    <row r="98" spans="1:14" ht="25.5" x14ac:dyDescent="0.2">
      <c r="A98" s="242" t="s">
        <v>147</v>
      </c>
      <c r="B98" s="243" t="s">
        <v>130</v>
      </c>
      <c r="C98" s="147">
        <f t="shared" si="35"/>
        <v>10057.341895833333</v>
      </c>
      <c r="D98" s="238"/>
      <c r="E98" s="239"/>
      <c r="F98" s="230"/>
      <c r="G98" s="145">
        <f>413641.6485</f>
        <v>413641.64850000001</v>
      </c>
      <c r="H98" s="145">
        <f>125688.10275-5000</f>
        <v>120688.10275000001</v>
      </c>
      <c r="I98" s="92">
        <f t="shared" si="38"/>
        <v>292953.54574999999</v>
      </c>
      <c r="J98" s="204">
        <v>60344.051375000003</v>
      </c>
      <c r="K98" s="204">
        <v>61344.051375000003</v>
      </c>
      <c r="L98" s="89">
        <f t="shared" si="39"/>
        <v>121688.10275000001</v>
      </c>
      <c r="M98" s="15">
        <f t="shared" si="40"/>
        <v>1.0082858208656362</v>
      </c>
      <c r="N98" s="231">
        <v>290794.00999999954</v>
      </c>
    </row>
    <row r="99" spans="1:14" ht="25.5" x14ac:dyDescent="0.2">
      <c r="A99" s="242" t="s">
        <v>148</v>
      </c>
      <c r="B99" s="243" t="s">
        <v>130</v>
      </c>
      <c r="C99" s="147">
        <f t="shared" si="35"/>
        <v>740.7166666666667</v>
      </c>
      <c r="D99" s="238"/>
      <c r="E99" s="239"/>
      <c r="F99" s="230"/>
      <c r="G99" s="145">
        <v>38448.925000000003</v>
      </c>
      <c r="H99" s="145">
        <f>9888.6-1000</f>
        <v>8888.6</v>
      </c>
      <c r="I99" s="85">
        <f t="shared" si="34"/>
        <v>29560.325000000004</v>
      </c>
      <c r="J99" s="204">
        <v>119.61</v>
      </c>
      <c r="K99" s="204">
        <v>6707.12</v>
      </c>
      <c r="L99" s="85">
        <f t="shared" si="36"/>
        <v>6826.73</v>
      </c>
      <c r="M99" s="16">
        <f t="shared" si="37"/>
        <v>0.76803208604279627</v>
      </c>
      <c r="N99" s="231">
        <v>12674.89</v>
      </c>
    </row>
    <row r="100" spans="1:14" ht="25.5" x14ac:dyDescent="0.2">
      <c r="A100" s="242" t="s">
        <v>149</v>
      </c>
      <c r="B100" s="243" t="s">
        <v>130</v>
      </c>
      <c r="C100" s="147">
        <f>H100/12</f>
        <v>520.6491666666667</v>
      </c>
      <c r="D100" s="238"/>
      <c r="E100" s="239"/>
      <c r="F100" s="230"/>
      <c r="G100" s="145">
        <v>31535.01</v>
      </c>
      <c r="H100" s="145">
        <f>7247.79-1000</f>
        <v>6247.79</v>
      </c>
      <c r="I100" s="85">
        <f t="shared" si="34"/>
        <v>25287.219999999998</v>
      </c>
      <c r="J100" s="204">
        <v>3123.895</v>
      </c>
      <c r="K100" s="204">
        <v>3123.895</v>
      </c>
      <c r="L100" s="85">
        <f t="shared" si="36"/>
        <v>6247.79</v>
      </c>
      <c r="M100" s="16">
        <f t="shared" si="37"/>
        <v>1</v>
      </c>
      <c r="N100" s="231">
        <v>21424.449999999997</v>
      </c>
    </row>
    <row r="101" spans="1:14" ht="25.5" x14ac:dyDescent="0.2">
      <c r="A101" s="242" t="s">
        <v>150</v>
      </c>
      <c r="B101" s="243" t="s">
        <v>130</v>
      </c>
      <c r="C101" s="147">
        <f t="shared" si="35"/>
        <v>3273.9754166666667</v>
      </c>
      <c r="D101" s="238"/>
      <c r="E101" s="239"/>
      <c r="F101" s="230"/>
      <c r="G101" s="145">
        <v>136574.79500000001</v>
      </c>
      <c r="H101" s="145">
        <f>43287.705-4000</f>
        <v>39287.705000000002</v>
      </c>
      <c r="I101" s="92">
        <f t="shared" si="34"/>
        <v>97287.090000000011</v>
      </c>
      <c r="J101" s="204">
        <v>19643.852500000001</v>
      </c>
      <c r="K101" s="204">
        <v>19643.852500000001</v>
      </c>
      <c r="L101" s="89">
        <f t="shared" si="36"/>
        <v>39287.705000000002</v>
      </c>
      <c r="M101" s="15">
        <f t="shared" si="37"/>
        <v>1</v>
      </c>
      <c r="N101" s="231">
        <v>137038.03000000006</v>
      </c>
    </row>
    <row r="102" spans="1:14" ht="25.5" x14ac:dyDescent="0.2">
      <c r="A102" s="242" t="s">
        <v>151</v>
      </c>
      <c r="B102" s="243" t="s">
        <v>130</v>
      </c>
      <c r="C102" s="147">
        <f t="shared" si="35"/>
        <v>1299.6654166666667</v>
      </c>
      <c r="D102" s="238"/>
      <c r="E102" s="239"/>
      <c r="F102" s="230"/>
      <c r="G102" s="145">
        <v>53529.9</v>
      </c>
      <c r="H102" s="145">
        <f>16895.985-1300</f>
        <v>15595.985000000001</v>
      </c>
      <c r="I102" s="92">
        <f t="shared" si="34"/>
        <v>37933.915000000001</v>
      </c>
      <c r="J102" s="204">
        <v>7797.9925000000003</v>
      </c>
      <c r="K102" s="204">
        <v>7797.9925000000003</v>
      </c>
      <c r="L102" s="89">
        <f t="shared" si="36"/>
        <v>15595.985000000001</v>
      </c>
      <c r="M102" s="15">
        <f t="shared" si="37"/>
        <v>1</v>
      </c>
      <c r="N102" s="231">
        <v>58653.680000000008</v>
      </c>
    </row>
    <row r="103" spans="1:14" ht="25.5" x14ac:dyDescent="0.2">
      <c r="A103" s="242" t="s">
        <v>152</v>
      </c>
      <c r="B103" s="243" t="s">
        <v>130</v>
      </c>
      <c r="C103" s="147">
        <f t="shared" si="35"/>
        <v>4699.083333333333</v>
      </c>
      <c r="D103" s="238"/>
      <c r="E103" s="239"/>
      <c r="F103" s="230"/>
      <c r="G103" s="145">
        <v>232698</v>
      </c>
      <c r="H103" s="145">
        <v>56389</v>
      </c>
      <c r="I103" s="92">
        <f t="shared" si="34"/>
        <v>176309</v>
      </c>
      <c r="J103" s="204">
        <v>28194.5</v>
      </c>
      <c r="K103" s="204">
        <v>29386.5</v>
      </c>
      <c r="L103" s="89">
        <f t="shared" si="36"/>
        <v>57581</v>
      </c>
      <c r="M103" s="15">
        <f t="shared" si="37"/>
        <v>1.0211388746032029</v>
      </c>
      <c r="N103" s="231">
        <v>253140.29000000004</v>
      </c>
    </row>
    <row r="104" spans="1:14" ht="25.5" x14ac:dyDescent="0.2">
      <c r="A104" s="242" t="s">
        <v>153</v>
      </c>
      <c r="B104" s="243" t="s">
        <v>130</v>
      </c>
      <c r="C104" s="147">
        <f t="shared" si="35"/>
        <v>40.3675</v>
      </c>
      <c r="D104" s="238"/>
      <c r="E104" s="239"/>
      <c r="F104" s="230"/>
      <c r="G104" s="145">
        <v>1262.04</v>
      </c>
      <c r="H104" s="145">
        <v>484.41</v>
      </c>
      <c r="I104" s="92">
        <f t="shared" si="34"/>
        <v>777.62999999999988</v>
      </c>
      <c r="J104" s="204">
        <v>242.20500000000001</v>
      </c>
      <c r="K104" s="204">
        <v>242.20500000000001</v>
      </c>
      <c r="L104" s="89">
        <f t="shared" si="36"/>
        <v>484.41</v>
      </c>
      <c r="M104" s="15">
        <f t="shared" si="37"/>
        <v>1</v>
      </c>
      <c r="N104" s="231">
        <v>1950.8400000000001</v>
      </c>
    </row>
    <row r="105" spans="1:14" ht="25.5" x14ac:dyDescent="0.2">
      <c r="A105" s="242" t="s">
        <v>154</v>
      </c>
      <c r="B105" s="243" t="s">
        <v>130</v>
      </c>
      <c r="C105" s="147">
        <f t="shared" si="35"/>
        <v>41.666666666666664</v>
      </c>
      <c r="D105" s="238"/>
      <c r="E105" s="239"/>
      <c r="F105" s="230"/>
      <c r="G105" s="145">
        <v>3458.91</v>
      </c>
      <c r="H105" s="145">
        <v>500</v>
      </c>
      <c r="I105" s="92">
        <f t="shared" si="34"/>
        <v>2958.91</v>
      </c>
      <c r="J105" s="204">
        <v>250</v>
      </c>
      <c r="K105" s="204">
        <v>250</v>
      </c>
      <c r="L105" s="89">
        <f t="shared" si="36"/>
        <v>500</v>
      </c>
      <c r="M105" s="15">
        <f t="shared" si="37"/>
        <v>1</v>
      </c>
      <c r="N105" s="231">
        <v>1804.3599999999994</v>
      </c>
    </row>
    <row r="106" spans="1:14" x14ac:dyDescent="0.2">
      <c r="A106" s="244"/>
      <c r="B106" s="245"/>
      <c r="C106" s="148"/>
      <c r="D106" s="238"/>
      <c r="E106" s="239"/>
      <c r="F106" s="230"/>
      <c r="G106" s="145">
        <v>0</v>
      </c>
      <c r="H106" s="143">
        <v>0</v>
      </c>
      <c r="I106" s="85">
        <f t="shared" si="34"/>
        <v>0</v>
      </c>
      <c r="J106" s="204">
        <v>0</v>
      </c>
      <c r="K106" s="204">
        <v>0</v>
      </c>
      <c r="L106" s="85">
        <f t="shared" ref="L106:L107" si="41">SUM(J106:K106)</f>
        <v>0</v>
      </c>
      <c r="M106" s="16" t="str">
        <f t="shared" ref="M106:M107" si="42">IFERROR(L106/H106,"N/A")</f>
        <v>N/A</v>
      </c>
      <c r="N106" s="246">
        <v>0</v>
      </c>
    </row>
    <row r="107" spans="1:14" x14ac:dyDescent="0.2">
      <c r="A107" s="244"/>
      <c r="B107" s="245"/>
      <c r="C107" s="149"/>
      <c r="D107" s="247"/>
      <c r="E107" s="248"/>
      <c r="F107" s="230"/>
      <c r="G107" s="145">
        <v>0</v>
      </c>
      <c r="H107" s="143">
        <v>0</v>
      </c>
      <c r="I107" s="85">
        <f t="shared" si="34"/>
        <v>0</v>
      </c>
      <c r="J107" s="204">
        <v>0</v>
      </c>
      <c r="K107" s="204">
        <v>0</v>
      </c>
      <c r="L107" s="85">
        <f t="shared" si="41"/>
        <v>0</v>
      </c>
      <c r="M107" s="16" t="str">
        <f t="shared" si="42"/>
        <v>N/A</v>
      </c>
      <c r="N107" s="246">
        <v>0</v>
      </c>
    </row>
    <row r="108" spans="1:14" ht="13.5" thickBot="1" x14ac:dyDescent="0.25">
      <c r="A108" s="186"/>
      <c r="B108" s="183"/>
      <c r="C108" s="235" t="s">
        <v>155</v>
      </c>
      <c r="D108" s="236"/>
      <c r="E108" s="236"/>
      <c r="F108" s="237"/>
      <c r="G108" s="90">
        <f t="shared" ref="G108:L108" si="43">SUM(G89:G107)</f>
        <v>1251309.1935000001</v>
      </c>
      <c r="H108" s="90">
        <f t="shared" si="43"/>
        <v>338862.10274999996</v>
      </c>
      <c r="I108" s="90">
        <f t="shared" si="43"/>
        <v>912447.09074999997</v>
      </c>
      <c r="J108" s="90">
        <f t="shared" si="43"/>
        <v>149799.726375</v>
      </c>
      <c r="K108" s="90">
        <f t="shared" si="43"/>
        <v>189062.57637499998</v>
      </c>
      <c r="L108" s="90">
        <f t="shared" si="43"/>
        <v>338862.30274999997</v>
      </c>
      <c r="M108" s="25">
        <f>IFERROR(L108/H108,"N/A")</f>
        <v>1.0000005902105853</v>
      </c>
      <c r="N108" s="91">
        <f>SUM(N89:N107)</f>
        <v>1061496.8699999999</v>
      </c>
    </row>
    <row r="109" spans="1:14" ht="13.5" thickBot="1" x14ac:dyDescent="0.25"/>
    <row r="110" spans="1:14" s="195" customFormat="1" x14ac:dyDescent="0.2">
      <c r="A110" s="218" t="s">
        <v>156</v>
      </c>
      <c r="B110" s="219"/>
      <c r="C110" s="219"/>
      <c r="D110" s="219"/>
      <c r="E110" s="219"/>
      <c r="F110" s="220"/>
      <c r="G110" s="221"/>
      <c r="H110" s="221"/>
      <c r="I110" s="221"/>
      <c r="J110" s="221"/>
      <c r="K110" s="221"/>
      <c r="L110" s="221"/>
      <c r="M110" s="4"/>
      <c r="N110" s="3"/>
    </row>
    <row r="111" spans="1:14" x14ac:dyDescent="0.2">
      <c r="A111" s="222" t="s">
        <v>157</v>
      </c>
      <c r="B111" s="192"/>
      <c r="C111" s="192"/>
      <c r="D111" s="192"/>
      <c r="E111" s="192"/>
      <c r="F111" s="193"/>
      <c r="G111" s="194"/>
      <c r="H111" s="194"/>
      <c r="I111" s="194"/>
      <c r="J111" s="194"/>
      <c r="K111" s="194"/>
      <c r="L111" s="194"/>
      <c r="M111" s="6"/>
      <c r="N111" s="5"/>
    </row>
    <row r="112" spans="1:14" ht="33.75" x14ac:dyDescent="0.2">
      <c r="A112" s="223" t="s">
        <v>117</v>
      </c>
      <c r="B112" s="224"/>
      <c r="C112" s="225"/>
      <c r="D112" s="225"/>
      <c r="E112" s="225"/>
      <c r="F112" s="225"/>
      <c r="G112" s="198" t="s">
        <v>39</v>
      </c>
      <c r="H112" s="198" t="s">
        <v>40</v>
      </c>
      <c r="I112" s="198" t="s">
        <v>41</v>
      </c>
      <c r="J112" s="198" t="s">
        <v>42</v>
      </c>
      <c r="K112" s="198" t="s">
        <v>43</v>
      </c>
      <c r="L112" s="198" t="s">
        <v>44</v>
      </c>
      <c r="M112" s="23" t="s">
        <v>45</v>
      </c>
      <c r="N112" s="24" t="s">
        <v>46</v>
      </c>
    </row>
    <row r="113" spans="1:14" ht="25.5" x14ac:dyDescent="0.2">
      <c r="A113" s="242" t="s">
        <v>158</v>
      </c>
      <c r="B113" s="243" t="s">
        <v>130</v>
      </c>
      <c r="C113" s="147">
        <f t="shared" ref="C113" si="44">H113/12</f>
        <v>542.4083333333333</v>
      </c>
      <c r="D113" s="238"/>
      <c r="E113" s="239"/>
      <c r="F113" s="230"/>
      <c r="G113" s="145">
        <v>22500.014999999999</v>
      </c>
      <c r="H113" s="145">
        <f>7008.9-500</f>
        <v>6508.9</v>
      </c>
      <c r="I113" s="85">
        <f t="shared" ref="I113:I114" si="45">G113-H113</f>
        <v>15991.115</v>
      </c>
      <c r="J113" s="204">
        <v>3254.45</v>
      </c>
      <c r="K113" s="204">
        <v>3254.45</v>
      </c>
      <c r="L113" s="85">
        <f>SUM(J113:K113)</f>
        <v>6508.9</v>
      </c>
      <c r="M113" s="16">
        <f>IFERROR(L113/H113,"N/A")</f>
        <v>1</v>
      </c>
      <c r="N113" s="231">
        <v>24289.779999999992</v>
      </c>
    </row>
    <row r="114" spans="1:14" x14ac:dyDescent="0.2">
      <c r="A114" s="242" t="s">
        <v>159</v>
      </c>
      <c r="B114" s="243"/>
      <c r="C114" s="147"/>
      <c r="D114" s="238"/>
      <c r="E114" s="239"/>
      <c r="F114" s="230"/>
      <c r="G114" s="145">
        <v>0</v>
      </c>
      <c r="H114" s="145">
        <v>0</v>
      </c>
      <c r="I114" s="85">
        <f t="shared" si="45"/>
        <v>0</v>
      </c>
      <c r="J114" s="204">
        <v>0</v>
      </c>
      <c r="K114" s="204">
        <v>0</v>
      </c>
      <c r="L114" s="85">
        <f t="shared" ref="L114" si="46">SUM(J114:K114)</f>
        <v>0</v>
      </c>
      <c r="M114" s="16" t="str">
        <f t="shared" ref="M114" si="47">IFERROR(L114/H114,"N/A")</f>
        <v>N/A</v>
      </c>
      <c r="N114" s="246">
        <v>0</v>
      </c>
    </row>
    <row r="115" spans="1:14" x14ac:dyDescent="0.2">
      <c r="A115" s="242"/>
      <c r="B115" s="245"/>
      <c r="C115" s="148"/>
      <c r="D115" s="238"/>
      <c r="E115" s="239"/>
      <c r="F115" s="230"/>
      <c r="G115" s="143">
        <v>0</v>
      </c>
      <c r="H115" s="143">
        <v>0</v>
      </c>
      <c r="I115" s="85">
        <f t="shared" ref="I115:I116" si="48">G115-H115</f>
        <v>0</v>
      </c>
      <c r="J115" s="204">
        <v>0</v>
      </c>
      <c r="K115" s="204">
        <v>0</v>
      </c>
      <c r="L115" s="85">
        <f t="shared" ref="L115:L116" si="49">SUM(J115:K115)</f>
        <v>0</v>
      </c>
      <c r="M115" s="16" t="str">
        <f t="shared" ref="M115:M116" si="50">IFERROR(L115/H115,"N/A")</f>
        <v>N/A</v>
      </c>
      <c r="N115" s="246">
        <v>0</v>
      </c>
    </row>
    <row r="116" spans="1:14" x14ac:dyDescent="0.2">
      <c r="A116" s="242"/>
      <c r="B116" s="245"/>
      <c r="C116" s="148"/>
      <c r="D116" s="238"/>
      <c r="E116" s="239"/>
      <c r="F116" s="230"/>
      <c r="G116" s="143">
        <v>0</v>
      </c>
      <c r="H116" s="143">
        <v>0</v>
      </c>
      <c r="I116" s="85">
        <f t="shared" si="48"/>
        <v>0</v>
      </c>
      <c r="J116" s="204">
        <v>0</v>
      </c>
      <c r="K116" s="204">
        <v>0</v>
      </c>
      <c r="L116" s="85">
        <f t="shared" si="49"/>
        <v>0</v>
      </c>
      <c r="M116" s="16" t="str">
        <f t="shared" si="50"/>
        <v>N/A</v>
      </c>
      <c r="N116" s="246">
        <v>0</v>
      </c>
    </row>
    <row r="117" spans="1:14" ht="13.5" thickBot="1" x14ac:dyDescent="0.25">
      <c r="A117" s="186"/>
      <c r="B117" s="183"/>
      <c r="C117" s="235" t="s">
        <v>160</v>
      </c>
      <c r="D117" s="236"/>
      <c r="E117" s="236"/>
      <c r="F117" s="237"/>
      <c r="G117" s="90">
        <f t="shared" ref="G117:L117" si="51">SUM(G113:G116)</f>
        <v>22500.014999999999</v>
      </c>
      <c r="H117" s="90">
        <f t="shared" si="51"/>
        <v>6508.9</v>
      </c>
      <c r="I117" s="90">
        <f t="shared" si="51"/>
        <v>15991.115</v>
      </c>
      <c r="J117" s="90">
        <f t="shared" si="51"/>
        <v>3254.45</v>
      </c>
      <c r="K117" s="90">
        <f t="shared" si="51"/>
        <v>3254.45</v>
      </c>
      <c r="L117" s="90">
        <f t="shared" si="51"/>
        <v>6508.9</v>
      </c>
      <c r="M117" s="25">
        <f>IFERROR(L117/H117,"N/A")</f>
        <v>1</v>
      </c>
      <c r="N117" s="91">
        <f>SUM(N113:N116)</f>
        <v>24289.779999999992</v>
      </c>
    </row>
    <row r="118" spans="1:14" ht="13.5" thickBot="1" x14ac:dyDescent="0.25"/>
    <row r="119" spans="1:14" s="195" customFormat="1" x14ac:dyDescent="0.2">
      <c r="A119" s="218" t="s">
        <v>161</v>
      </c>
      <c r="B119" s="219"/>
      <c r="C119" s="219"/>
      <c r="D119" s="219"/>
      <c r="E119" s="219"/>
      <c r="F119" s="220"/>
      <c r="G119" s="221"/>
      <c r="H119" s="221"/>
      <c r="I119" s="221"/>
      <c r="J119" s="221"/>
      <c r="K119" s="221"/>
      <c r="L119" s="221"/>
      <c r="M119" s="4"/>
      <c r="N119" s="3"/>
    </row>
    <row r="120" spans="1:14" x14ac:dyDescent="0.2">
      <c r="A120" s="222" t="s">
        <v>162</v>
      </c>
      <c r="B120" s="192"/>
      <c r="C120" s="192"/>
      <c r="D120" s="192"/>
      <c r="E120" s="192"/>
      <c r="F120" s="193"/>
      <c r="G120" s="194"/>
      <c r="H120" s="194"/>
      <c r="I120" s="194"/>
      <c r="J120" s="194"/>
      <c r="K120" s="194"/>
      <c r="L120" s="194"/>
      <c r="M120" s="6"/>
      <c r="N120" s="5"/>
    </row>
    <row r="121" spans="1:14" ht="33.75" x14ac:dyDescent="0.2">
      <c r="A121" s="223" t="s">
        <v>117</v>
      </c>
      <c r="B121" s="224"/>
      <c r="C121" s="225"/>
      <c r="D121" s="225"/>
      <c r="E121" s="225"/>
      <c r="F121" s="225"/>
      <c r="G121" s="198" t="s">
        <v>39</v>
      </c>
      <c r="H121" s="198" t="s">
        <v>40</v>
      </c>
      <c r="I121" s="198" t="s">
        <v>41</v>
      </c>
      <c r="J121" s="198" t="s">
        <v>42</v>
      </c>
      <c r="K121" s="198" t="s">
        <v>43</v>
      </c>
      <c r="L121" s="198" t="s">
        <v>44</v>
      </c>
      <c r="M121" s="23" t="s">
        <v>45</v>
      </c>
      <c r="N121" s="24" t="s">
        <v>46</v>
      </c>
    </row>
    <row r="122" spans="1:14" x14ac:dyDescent="0.2">
      <c r="A122" s="249"/>
      <c r="B122" s="245"/>
      <c r="C122" s="148"/>
      <c r="D122" s="238"/>
      <c r="E122" s="239"/>
      <c r="F122" s="230"/>
      <c r="G122" s="143">
        <v>0</v>
      </c>
      <c r="H122" s="143">
        <v>0</v>
      </c>
      <c r="I122" s="85">
        <f t="shared" ref="I122:I124" si="52">G122-H122</f>
        <v>0</v>
      </c>
      <c r="J122" s="204">
        <v>0</v>
      </c>
      <c r="K122" s="204">
        <v>0</v>
      </c>
      <c r="L122" s="85">
        <f>SUM(J122:K122)</f>
        <v>0</v>
      </c>
      <c r="M122" s="16" t="str">
        <f>IFERROR(L122/H122,"N/A")</f>
        <v>N/A</v>
      </c>
      <c r="N122" s="246">
        <v>0</v>
      </c>
    </row>
    <row r="123" spans="1:14" x14ac:dyDescent="0.2">
      <c r="A123" s="242"/>
      <c r="B123" s="245"/>
      <c r="C123" s="148"/>
      <c r="D123" s="238"/>
      <c r="E123" s="239"/>
      <c r="F123" s="230"/>
      <c r="G123" s="143">
        <v>0</v>
      </c>
      <c r="H123" s="143">
        <v>0</v>
      </c>
      <c r="I123" s="85">
        <f t="shared" si="52"/>
        <v>0</v>
      </c>
      <c r="J123" s="204">
        <v>0</v>
      </c>
      <c r="K123" s="204">
        <v>0</v>
      </c>
      <c r="L123" s="85">
        <f t="shared" ref="L123:L124" si="53">SUM(J123:K123)</f>
        <v>0</v>
      </c>
      <c r="M123" s="16" t="str">
        <f t="shared" ref="M123:M124" si="54">IFERROR(L123/H123,"N/A")</f>
        <v>N/A</v>
      </c>
      <c r="N123" s="246">
        <v>0</v>
      </c>
    </row>
    <row r="124" spans="1:14" x14ac:dyDescent="0.2">
      <c r="A124" s="242"/>
      <c r="B124" s="245"/>
      <c r="C124" s="148"/>
      <c r="D124" s="238"/>
      <c r="E124" s="239"/>
      <c r="F124" s="230"/>
      <c r="G124" s="143">
        <v>0</v>
      </c>
      <c r="H124" s="143">
        <v>0</v>
      </c>
      <c r="I124" s="85">
        <f t="shared" si="52"/>
        <v>0</v>
      </c>
      <c r="J124" s="204">
        <v>0</v>
      </c>
      <c r="K124" s="204">
        <v>0</v>
      </c>
      <c r="L124" s="85">
        <f t="shared" si="53"/>
        <v>0</v>
      </c>
      <c r="M124" s="16" t="str">
        <f t="shared" si="54"/>
        <v>N/A</v>
      </c>
      <c r="N124" s="246">
        <v>0</v>
      </c>
    </row>
    <row r="125" spans="1:14" ht="13.5" thickBot="1" x14ac:dyDescent="0.25">
      <c r="A125" s="186"/>
      <c r="B125" s="183"/>
      <c r="C125" s="235" t="s">
        <v>163</v>
      </c>
      <c r="D125" s="236"/>
      <c r="E125" s="236"/>
      <c r="F125" s="237"/>
      <c r="G125" s="90">
        <f t="shared" ref="G125:L125" si="55">SUM(G122:G124)</f>
        <v>0</v>
      </c>
      <c r="H125" s="90">
        <f t="shared" si="55"/>
        <v>0</v>
      </c>
      <c r="I125" s="90">
        <f t="shared" si="55"/>
        <v>0</v>
      </c>
      <c r="J125" s="90">
        <f t="shared" si="55"/>
        <v>0</v>
      </c>
      <c r="K125" s="90">
        <f t="shared" si="55"/>
        <v>0</v>
      </c>
      <c r="L125" s="90">
        <f t="shared" si="55"/>
        <v>0</v>
      </c>
      <c r="M125" s="25" t="str">
        <f>IFERROR(L125/H125,"N/A")</f>
        <v>N/A</v>
      </c>
      <c r="N125" s="91">
        <f>SUM(N122:N124)</f>
        <v>0</v>
      </c>
    </row>
    <row r="126" spans="1:14" ht="13.5" thickBot="1" x14ac:dyDescent="0.25"/>
    <row r="127" spans="1:14" s="195" customFormat="1" x14ac:dyDescent="0.2">
      <c r="A127" s="218" t="s">
        <v>164</v>
      </c>
      <c r="B127" s="219"/>
      <c r="C127" s="219"/>
      <c r="D127" s="219"/>
      <c r="E127" s="219"/>
      <c r="F127" s="220"/>
      <c r="G127" s="221"/>
      <c r="H127" s="221"/>
      <c r="I127" s="221"/>
      <c r="J127" s="221"/>
      <c r="K127" s="221"/>
      <c r="L127" s="221"/>
      <c r="M127" s="4"/>
      <c r="N127" s="3"/>
    </row>
    <row r="128" spans="1:14" s="195" customFormat="1" ht="11.25" x14ac:dyDescent="0.2">
      <c r="A128" s="222" t="s">
        <v>165</v>
      </c>
      <c r="B128" s="250"/>
      <c r="C128" s="250"/>
      <c r="D128" s="250"/>
      <c r="E128" s="250"/>
      <c r="F128" s="193"/>
      <c r="G128" s="193"/>
      <c r="H128" s="193"/>
      <c r="I128" s="193"/>
      <c r="J128" s="193"/>
      <c r="K128" s="193"/>
      <c r="L128" s="193"/>
      <c r="M128" s="69"/>
      <c r="N128" s="251"/>
    </row>
    <row r="129" spans="1:14" s="195" customFormat="1" ht="11.25" x14ac:dyDescent="0.2">
      <c r="A129" s="252" t="s">
        <v>166</v>
      </c>
      <c r="B129" s="250"/>
      <c r="C129" s="250"/>
      <c r="D129" s="250"/>
      <c r="E129" s="250"/>
      <c r="F129" s="193"/>
      <c r="G129" s="193"/>
      <c r="H129" s="193"/>
      <c r="I129" s="193"/>
      <c r="J129" s="193"/>
      <c r="K129" s="193"/>
      <c r="L129" s="193"/>
      <c r="M129" s="69"/>
      <c r="N129" s="251"/>
    </row>
    <row r="130" spans="1:14" s="195" customFormat="1" ht="11.25" x14ac:dyDescent="0.2">
      <c r="A130" s="252" t="s">
        <v>167</v>
      </c>
      <c r="B130" s="250"/>
      <c r="C130" s="250"/>
      <c r="D130" s="250"/>
      <c r="E130" s="250"/>
      <c r="F130" s="250"/>
      <c r="G130" s="26"/>
      <c r="H130" s="26"/>
      <c r="I130" s="26"/>
      <c r="J130" s="26"/>
      <c r="K130" s="26"/>
      <c r="L130" s="26"/>
      <c r="M130" s="27"/>
      <c r="N130" s="28"/>
    </row>
    <row r="131" spans="1:14" ht="34.5" thickBot="1" x14ac:dyDescent="0.25">
      <c r="A131" s="223" t="s">
        <v>117</v>
      </c>
      <c r="B131" s="224"/>
      <c r="C131" s="225"/>
      <c r="D131" s="225"/>
      <c r="E131" s="225"/>
      <c r="F131" s="225"/>
      <c r="G131" s="198" t="s">
        <v>39</v>
      </c>
      <c r="H131" s="198" t="s">
        <v>40</v>
      </c>
      <c r="I131" s="198" t="s">
        <v>41</v>
      </c>
      <c r="J131" s="198" t="s">
        <v>42</v>
      </c>
      <c r="K131" s="198" t="s">
        <v>43</v>
      </c>
      <c r="L131" s="198" t="s">
        <v>44</v>
      </c>
      <c r="M131" s="23" t="s">
        <v>45</v>
      </c>
      <c r="N131" s="24" t="s">
        <v>46</v>
      </c>
    </row>
    <row r="132" spans="1:14" ht="13.5" thickBot="1" x14ac:dyDescent="0.25">
      <c r="A132" s="253" t="s">
        <v>168</v>
      </c>
      <c r="B132" s="254"/>
      <c r="C132" s="150"/>
      <c r="D132" s="230"/>
      <c r="E132" s="255" t="s">
        <v>169</v>
      </c>
      <c r="F132" s="256">
        <f>IFERROR(H134/H136,"N/A")</f>
        <v>9.999968925917492E-2</v>
      </c>
      <c r="G132" s="145">
        <v>240715.8579</v>
      </c>
      <c r="H132" s="145">
        <v>90785</v>
      </c>
      <c r="I132" s="92">
        <f>G132-H132</f>
        <v>149930.8579</v>
      </c>
      <c r="J132" s="204">
        <v>45392.460000000014</v>
      </c>
      <c r="K132" s="204">
        <v>45392.460000000014</v>
      </c>
      <c r="L132" s="85">
        <f>SUM(J132:K132)</f>
        <v>90784.920000000027</v>
      </c>
      <c r="M132" s="16">
        <f>IFERROR(L132/H132,"N/A")</f>
        <v>0.99999911879715842</v>
      </c>
      <c r="N132" s="231">
        <v>171676.15000000005</v>
      </c>
    </row>
    <row r="133" spans="1:14" ht="13.5" thickBot="1" x14ac:dyDescent="0.25">
      <c r="A133" s="257"/>
      <c r="B133" s="254"/>
      <c r="C133" s="151"/>
      <c r="D133" s="230"/>
      <c r="E133" s="255" t="s">
        <v>169</v>
      </c>
      <c r="F133" s="256" t="str">
        <f>IFERROR(H135/H137,"N/A")</f>
        <v>N/A</v>
      </c>
      <c r="G133" s="145">
        <v>0</v>
      </c>
      <c r="H133" s="145">
        <v>0</v>
      </c>
      <c r="I133" s="92">
        <f t="shared" ref="I133" si="56">G133-H133</f>
        <v>0</v>
      </c>
      <c r="J133" s="240">
        <v>0</v>
      </c>
      <c r="K133" s="240">
        <v>0</v>
      </c>
      <c r="L133" s="92">
        <f>SUM(J133:K133)</f>
        <v>0</v>
      </c>
      <c r="M133" s="22" t="str">
        <f>IFERROR(L133/H133,"N/A")</f>
        <v>N/A</v>
      </c>
      <c r="N133" s="258">
        <v>0</v>
      </c>
    </row>
    <row r="134" spans="1:14" ht="13.5" thickBot="1" x14ac:dyDescent="0.25">
      <c r="A134" s="186"/>
      <c r="B134" s="183"/>
      <c r="C134" s="235" t="s">
        <v>170</v>
      </c>
      <c r="D134" s="236"/>
      <c r="E134" s="236"/>
      <c r="F134" s="259"/>
      <c r="G134" s="93">
        <f>SUM(G132:G133)</f>
        <v>240715.8579</v>
      </c>
      <c r="H134" s="93">
        <f>SUM(H132:H133)</f>
        <v>90785</v>
      </c>
      <c r="I134" s="93">
        <f>SUM(I132:I133)</f>
        <v>149930.8579</v>
      </c>
      <c r="J134" s="93">
        <f t="shared" ref="J134:L134" si="57">SUM(J132:J133)</f>
        <v>45392.460000000014</v>
      </c>
      <c r="K134" s="93">
        <f t="shared" si="57"/>
        <v>45392.460000000014</v>
      </c>
      <c r="L134" s="93">
        <f t="shared" si="57"/>
        <v>90784.920000000027</v>
      </c>
      <c r="M134" s="82">
        <f>IFERROR(L134/H134,"N/A")</f>
        <v>0.99999911879715842</v>
      </c>
      <c r="N134" s="94">
        <f>SUM(N132:N133)</f>
        <v>171676.15000000005</v>
      </c>
    </row>
    <row r="135" spans="1:14" ht="13.5" thickBot="1" x14ac:dyDescent="0.25"/>
    <row r="136" spans="1:14" ht="15.75" thickBot="1" x14ac:dyDescent="0.3">
      <c r="A136" s="260"/>
      <c r="B136" s="261"/>
      <c r="C136" s="262" t="s">
        <v>171</v>
      </c>
      <c r="D136" s="261"/>
      <c r="E136" s="261"/>
      <c r="F136" s="263"/>
      <c r="G136" s="95">
        <f t="shared" ref="G136:L136" si="58">SUM(G134,G125,G117,G108,G84,G76,G65)</f>
        <v>3091644.7729137931</v>
      </c>
      <c r="H136" s="95">
        <f t="shared" si="58"/>
        <v>907852.82106934674</v>
      </c>
      <c r="I136" s="95">
        <f t="shared" si="58"/>
        <v>2183791.9518444454</v>
      </c>
      <c r="J136" s="95">
        <f t="shared" si="58"/>
        <v>434295.48755054001</v>
      </c>
      <c r="K136" s="95">
        <f t="shared" si="58"/>
        <v>473557.20784685999</v>
      </c>
      <c r="L136" s="95">
        <f t="shared" si="58"/>
        <v>907852.69539739995</v>
      </c>
      <c r="M136" s="2">
        <f>IFERROR(L136/H136,"N/A")</f>
        <v>0.99999986157233434</v>
      </c>
      <c r="N136" s="96">
        <f>SUM(N134,N125,N117,N108,N84,N76,N65)</f>
        <v>2271554.9670666661</v>
      </c>
    </row>
    <row r="137" spans="1:14" ht="15" customHeight="1" thickBot="1" x14ac:dyDescent="0.25"/>
    <row r="138" spans="1:14" ht="15" x14ac:dyDescent="0.25">
      <c r="A138" s="264" t="s">
        <v>24</v>
      </c>
      <c r="B138" s="219"/>
      <c r="C138" s="219"/>
      <c r="D138" s="219"/>
      <c r="E138" s="219"/>
      <c r="F138" s="219"/>
      <c r="G138" s="219"/>
      <c r="H138" s="219"/>
      <c r="I138" s="219"/>
      <c r="J138" s="219"/>
      <c r="K138" s="219"/>
      <c r="L138" s="219"/>
      <c r="M138" s="219"/>
      <c r="N138" s="265"/>
    </row>
    <row r="139" spans="1:14" ht="14.25" x14ac:dyDescent="0.2">
      <c r="A139" s="266" t="s">
        <v>172</v>
      </c>
      <c r="B139" s="267"/>
      <c r="C139" s="267"/>
      <c r="D139" s="267"/>
      <c r="E139" s="267"/>
      <c r="F139" s="267"/>
      <c r="G139" s="267"/>
      <c r="H139" s="267"/>
      <c r="I139" s="267"/>
      <c r="J139" s="267"/>
      <c r="K139" s="267"/>
      <c r="L139" s="267"/>
      <c r="M139" s="267"/>
      <c r="N139" s="268"/>
    </row>
    <row r="140" spans="1:14" ht="15" x14ac:dyDescent="0.25">
      <c r="A140" s="266" t="s">
        <v>173</v>
      </c>
      <c r="B140" s="267"/>
      <c r="C140" s="267"/>
      <c r="D140" s="267"/>
      <c r="E140" s="267"/>
      <c r="F140" s="267"/>
      <c r="G140" s="267"/>
      <c r="H140" s="267"/>
      <c r="I140" s="267"/>
      <c r="J140" s="267"/>
      <c r="K140" s="267"/>
      <c r="L140" s="267"/>
      <c r="M140" s="267"/>
      <c r="N140" s="268"/>
    </row>
    <row r="141" spans="1:14" ht="15" x14ac:dyDescent="0.25">
      <c r="A141" s="266" t="s">
        <v>174</v>
      </c>
      <c r="B141" s="267"/>
      <c r="C141" s="267"/>
      <c r="D141" s="267"/>
      <c r="E141" s="267"/>
      <c r="F141" s="267"/>
      <c r="G141" s="267"/>
      <c r="H141" s="267"/>
      <c r="I141" s="267"/>
      <c r="J141" s="267"/>
      <c r="K141" s="267"/>
      <c r="L141" s="267"/>
      <c r="M141" s="267"/>
      <c r="N141" s="268"/>
    </row>
    <row r="142" spans="1:14" ht="45" customHeight="1" x14ac:dyDescent="0.2">
      <c r="A142" s="269" t="s">
        <v>175</v>
      </c>
      <c r="B142" s="270"/>
      <c r="C142" s="270" t="s">
        <v>117</v>
      </c>
      <c r="I142" s="271" t="s">
        <v>176</v>
      </c>
      <c r="J142" s="271" t="s">
        <v>177</v>
      </c>
      <c r="K142" s="271" t="s">
        <v>178</v>
      </c>
      <c r="L142" s="271" t="s">
        <v>179</v>
      </c>
      <c r="M142" s="76" t="s">
        <v>180</v>
      </c>
      <c r="N142" s="272" t="s">
        <v>181</v>
      </c>
    </row>
    <row r="143" spans="1:14" ht="15" customHeight="1" x14ac:dyDescent="0.2">
      <c r="A143" s="273" t="s">
        <v>182</v>
      </c>
      <c r="B143" s="102"/>
      <c r="C143" s="102"/>
      <c r="I143" s="103"/>
      <c r="J143" s="103"/>
      <c r="K143" s="103"/>
      <c r="L143" s="103"/>
      <c r="M143" s="11"/>
      <c r="N143" s="72"/>
    </row>
    <row r="144" spans="1:14" ht="15" customHeight="1" x14ac:dyDescent="0.2">
      <c r="A144" s="274" t="s">
        <v>183</v>
      </c>
      <c r="B144" s="152"/>
      <c r="C144" s="152" t="s">
        <v>63</v>
      </c>
      <c r="I144" s="143">
        <v>607360</v>
      </c>
      <c r="J144" s="234">
        <f>(132240+415600)/2</f>
        <v>273920</v>
      </c>
      <c r="K144" s="234">
        <f>(132240+415600)/2</f>
        <v>273920</v>
      </c>
      <c r="L144" s="97">
        <f t="shared" ref="L144:L147" si="59">SUM(J144:K144)</f>
        <v>547840</v>
      </c>
      <c r="M144" s="11"/>
      <c r="N144" s="72"/>
    </row>
    <row r="145" spans="1:14" ht="15" customHeight="1" x14ac:dyDescent="0.2">
      <c r="A145" s="274" t="s">
        <v>184</v>
      </c>
      <c r="B145" s="152"/>
      <c r="C145" s="152" t="s">
        <v>63</v>
      </c>
      <c r="I145" s="143">
        <v>251850</v>
      </c>
      <c r="J145" s="234">
        <f>54750+87600</f>
        <v>142350</v>
      </c>
      <c r="K145" s="234">
        <v>0</v>
      </c>
      <c r="L145" s="97">
        <f t="shared" ref="L145:L146" si="60">SUM(J145:K145)</f>
        <v>142350</v>
      </c>
      <c r="M145" s="11"/>
      <c r="N145" s="72"/>
    </row>
    <row r="146" spans="1:14" ht="15" customHeight="1" x14ac:dyDescent="0.2">
      <c r="A146" s="274" t="s">
        <v>185</v>
      </c>
      <c r="B146" s="152"/>
      <c r="C146" s="152" t="s">
        <v>57</v>
      </c>
      <c r="I146" s="143">
        <v>500000</v>
      </c>
      <c r="J146" s="234">
        <f>755000-355000</f>
        <v>400000</v>
      </c>
      <c r="K146" s="234">
        <v>0</v>
      </c>
      <c r="L146" s="97">
        <f t="shared" si="60"/>
        <v>400000</v>
      </c>
      <c r="M146" s="11"/>
      <c r="N146" s="72"/>
    </row>
    <row r="147" spans="1:14" ht="15" customHeight="1" x14ac:dyDescent="0.2">
      <c r="A147" s="274"/>
      <c r="B147" s="152"/>
      <c r="C147" s="152"/>
      <c r="I147" s="143">
        <v>0</v>
      </c>
      <c r="J147" s="234">
        <v>0</v>
      </c>
      <c r="K147" s="234">
        <v>0</v>
      </c>
      <c r="L147" s="97">
        <f t="shared" si="59"/>
        <v>0</v>
      </c>
      <c r="M147" s="11"/>
      <c r="N147" s="72"/>
    </row>
    <row r="148" spans="1:14" x14ac:dyDescent="0.2">
      <c r="A148" s="275" t="s">
        <v>186</v>
      </c>
      <c r="B148" s="102"/>
      <c r="I148" s="103"/>
      <c r="J148" s="103"/>
      <c r="K148" s="103"/>
      <c r="L148" s="103"/>
      <c r="M148" s="11"/>
      <c r="N148" s="72"/>
    </row>
    <row r="149" spans="1:14" ht="15" customHeight="1" x14ac:dyDescent="0.2">
      <c r="A149" s="274" t="s">
        <v>187</v>
      </c>
      <c r="B149" s="152"/>
      <c r="I149" s="143">
        <v>409825.14702946926</v>
      </c>
      <c r="J149" s="234">
        <f>500000/2-175000</f>
        <v>75000</v>
      </c>
      <c r="K149" s="234">
        <f>500000/2-175000</f>
        <v>75000</v>
      </c>
      <c r="L149" s="97">
        <f t="shared" ref="L149:L159" si="61">SUM(J149:K149)</f>
        <v>150000</v>
      </c>
      <c r="M149" s="11"/>
      <c r="N149" s="72"/>
    </row>
    <row r="150" spans="1:14" ht="15" customHeight="1" x14ac:dyDescent="0.2">
      <c r="A150" s="274"/>
      <c r="B150" s="152"/>
      <c r="I150" s="143">
        <v>0</v>
      </c>
      <c r="J150" s="234">
        <v>0</v>
      </c>
      <c r="K150" s="234">
        <v>0</v>
      </c>
      <c r="L150" s="97">
        <f t="shared" si="61"/>
        <v>0</v>
      </c>
      <c r="M150" s="11"/>
      <c r="N150" s="72"/>
    </row>
    <row r="151" spans="1:14" x14ac:dyDescent="0.2">
      <c r="A151" s="275" t="s">
        <v>188</v>
      </c>
      <c r="B151" s="102"/>
      <c r="I151" s="103"/>
      <c r="J151" s="103"/>
      <c r="K151" s="103"/>
      <c r="L151" s="103"/>
      <c r="M151" s="11"/>
      <c r="N151" s="72"/>
    </row>
    <row r="152" spans="1:14" ht="15" customHeight="1" x14ac:dyDescent="0.2">
      <c r="A152" s="274" t="s">
        <v>189</v>
      </c>
      <c r="B152" s="152"/>
      <c r="I152" s="143">
        <v>350000</v>
      </c>
      <c r="J152" s="234">
        <f>125000-75000</f>
        <v>50000</v>
      </c>
      <c r="K152" s="234">
        <f>2271555-1945190-J152-170000-32852.6</f>
        <v>73512.399999999994</v>
      </c>
      <c r="L152" s="97">
        <f t="shared" ref="L152:L153" si="62">SUM(J152:K152)</f>
        <v>123512.4</v>
      </c>
      <c r="M152" s="11"/>
      <c r="N152" s="72"/>
    </row>
    <row r="153" spans="1:14" ht="15" customHeight="1" x14ac:dyDescent="0.2">
      <c r="A153" s="274"/>
      <c r="B153" s="152"/>
      <c r="I153" s="143">
        <v>0</v>
      </c>
      <c r="J153" s="234">
        <v>0</v>
      </c>
      <c r="K153" s="234">
        <v>0</v>
      </c>
      <c r="L153" s="97">
        <f t="shared" si="62"/>
        <v>0</v>
      </c>
      <c r="M153" s="11"/>
      <c r="N153" s="72"/>
    </row>
    <row r="154" spans="1:14" x14ac:dyDescent="0.2">
      <c r="A154" s="275" t="s">
        <v>190</v>
      </c>
      <c r="B154" s="102"/>
      <c r="I154" s="103"/>
      <c r="J154" s="103"/>
      <c r="K154" s="103"/>
      <c r="L154" s="103"/>
      <c r="M154" s="31"/>
      <c r="N154" s="73"/>
    </row>
    <row r="155" spans="1:14" ht="15" customHeight="1" x14ac:dyDescent="0.2">
      <c r="A155" s="274"/>
      <c r="B155" s="152"/>
      <c r="I155" s="143">
        <v>0</v>
      </c>
      <c r="J155" s="234">
        <v>0</v>
      </c>
      <c r="K155" s="234">
        <v>0</v>
      </c>
      <c r="L155" s="97">
        <f t="shared" ref="L155:L156" si="63">SUM(J155:K155)</f>
        <v>0</v>
      </c>
      <c r="M155" s="11"/>
      <c r="N155" s="72"/>
    </row>
    <row r="156" spans="1:14" ht="15" customHeight="1" x14ac:dyDescent="0.2">
      <c r="A156" s="274"/>
      <c r="B156" s="152"/>
      <c r="I156" s="143">
        <v>0</v>
      </c>
      <c r="J156" s="234">
        <v>0</v>
      </c>
      <c r="K156" s="234">
        <v>0</v>
      </c>
      <c r="L156" s="97">
        <f t="shared" si="63"/>
        <v>0</v>
      </c>
      <c r="M156" s="11"/>
      <c r="N156" s="72"/>
    </row>
    <row r="157" spans="1:14" x14ac:dyDescent="0.2">
      <c r="A157" s="275" t="s">
        <v>191</v>
      </c>
      <c r="B157" s="102"/>
      <c r="I157" s="103"/>
      <c r="J157" s="103"/>
      <c r="K157" s="103"/>
      <c r="L157" s="103"/>
      <c r="M157" s="31"/>
      <c r="N157" s="73"/>
    </row>
    <row r="158" spans="1:14" ht="15" customHeight="1" x14ac:dyDescent="0.2">
      <c r="A158" s="274"/>
      <c r="B158" s="152"/>
      <c r="I158" s="143">
        <v>0</v>
      </c>
      <c r="J158" s="234">
        <v>0</v>
      </c>
      <c r="K158" s="234">
        <v>0</v>
      </c>
      <c r="L158" s="97">
        <f t="shared" si="61"/>
        <v>0</v>
      </c>
      <c r="M158" s="11"/>
      <c r="N158" s="72"/>
    </row>
    <row r="159" spans="1:14" ht="15" customHeight="1" x14ac:dyDescent="0.2">
      <c r="A159" s="274"/>
      <c r="B159" s="152"/>
      <c r="I159" s="143">
        <v>0</v>
      </c>
      <c r="J159" s="234">
        <v>0</v>
      </c>
      <c r="K159" s="234">
        <v>0</v>
      </c>
      <c r="L159" s="97">
        <f t="shared" si="61"/>
        <v>0</v>
      </c>
      <c r="M159" s="11"/>
      <c r="N159" s="72"/>
    </row>
    <row r="160" spans="1:14" x14ac:dyDescent="0.2">
      <c r="A160" s="273" t="s">
        <v>192</v>
      </c>
      <c r="B160" s="102"/>
      <c r="I160" s="103"/>
      <c r="J160" s="103"/>
      <c r="K160" s="103"/>
      <c r="L160" s="103"/>
      <c r="M160" s="31"/>
      <c r="N160" s="73"/>
    </row>
    <row r="161" spans="1:14" ht="15" customHeight="1" x14ac:dyDescent="0.2">
      <c r="A161" s="274"/>
      <c r="B161" s="152"/>
      <c r="I161" s="143">
        <v>0</v>
      </c>
      <c r="J161" s="234">
        <v>0</v>
      </c>
      <c r="K161" s="234">
        <v>0</v>
      </c>
      <c r="L161" s="97">
        <f t="shared" ref="L161:L162" si="64">SUM(J161:K161)</f>
        <v>0</v>
      </c>
      <c r="M161" s="11"/>
      <c r="N161" s="72"/>
    </row>
    <row r="162" spans="1:14" ht="15" customHeight="1" x14ac:dyDescent="0.2">
      <c r="A162" s="274"/>
      <c r="B162" s="152"/>
      <c r="I162" s="143">
        <v>0</v>
      </c>
      <c r="J162" s="234">
        <v>0</v>
      </c>
      <c r="K162" s="234">
        <v>0</v>
      </c>
      <c r="L162" s="97">
        <f t="shared" si="64"/>
        <v>0</v>
      </c>
      <c r="M162" s="11"/>
      <c r="N162" s="72"/>
    </row>
    <row r="163" spans="1:14" ht="15.75" thickBot="1" x14ac:dyDescent="0.3">
      <c r="A163" s="276" t="s">
        <v>193</v>
      </c>
      <c r="B163" s="183"/>
      <c r="C163" s="183"/>
      <c r="D163" s="277" t="s">
        <v>194</v>
      </c>
      <c r="E163" s="278"/>
      <c r="F163" s="278"/>
      <c r="G163" s="278"/>
      <c r="H163" s="278"/>
      <c r="I163" s="98">
        <f>SUM(I143:I162)</f>
        <v>2119035.1470294693</v>
      </c>
      <c r="J163" s="98">
        <f t="shared" ref="J163:L163" si="65">SUM(J143:J162)</f>
        <v>941270</v>
      </c>
      <c r="K163" s="98">
        <f t="shared" si="65"/>
        <v>422432.4</v>
      </c>
      <c r="L163" s="98">
        <f t="shared" si="65"/>
        <v>1363702.4</v>
      </c>
      <c r="M163" s="99">
        <f>N13-L13</f>
        <v>1363702.2716692663</v>
      </c>
      <c r="N163" s="100">
        <f>IFERROR(L163-M163,"N/A")</f>
        <v>0.12833073362708092</v>
      </c>
    </row>
    <row r="164" spans="1:14" ht="13.5" thickBot="1" x14ac:dyDescent="0.25">
      <c r="A164" s="161"/>
      <c r="F164" s="279"/>
    </row>
    <row r="165" spans="1:14" x14ac:dyDescent="0.2">
      <c r="A165" s="280" t="s">
        <v>195</v>
      </c>
      <c r="B165" s="185"/>
      <c r="C165" s="185"/>
      <c r="D165" s="185"/>
      <c r="E165" s="185"/>
      <c r="F165" s="281"/>
      <c r="G165" s="281"/>
      <c r="H165" s="281"/>
      <c r="I165" s="281"/>
      <c r="J165" s="281"/>
      <c r="K165" s="281"/>
      <c r="L165" s="281"/>
      <c r="M165" s="14"/>
      <c r="N165" s="13"/>
    </row>
    <row r="166" spans="1:14" ht="13.5" thickBot="1" x14ac:dyDescent="0.25">
      <c r="A166" s="181" t="s">
        <v>196</v>
      </c>
      <c r="B166" s="182"/>
      <c r="C166" s="182"/>
      <c r="D166" s="182"/>
      <c r="E166" s="182"/>
      <c r="F166" s="282"/>
      <c r="G166" s="282"/>
      <c r="H166" s="282"/>
      <c r="I166" s="282"/>
      <c r="J166" s="282"/>
      <c r="K166" s="282"/>
      <c r="L166" s="282"/>
      <c r="M166" s="10"/>
      <c r="N166" s="9"/>
    </row>
  </sheetData>
  <sheetProtection algorithmName="SHA-512" hashValue="XX5gn0GtF1MVBR8G8YwDB9vlO9jE94Q3EdoTWoqhJX3v3XcLXwjAiTteGPK3R+y186Or5cHsO+4ntC1Iahyc7Q==" saltValue="o2yZ9s4+u+FtPDiN3NZcqw==" spinCount="100000" sheet="1" objects="1" scenarios="1"/>
  <conditionalFormatting sqref="A27:A28">
    <cfRule type="duplicateValues" dxfId="8" priority="17"/>
  </conditionalFormatting>
  <conditionalFormatting sqref="B143:B162">
    <cfRule type="containsText" dxfId="7" priority="15" operator="containsText" text="VARIANCE">
      <formula>NOT(ISERROR(SEARCH("VARIANCE",B143)))</formula>
    </cfRule>
  </conditionalFormatting>
  <conditionalFormatting sqref="C143:C147">
    <cfRule type="containsText" dxfId="6" priority="13" operator="containsText" text="VARIANCE">
      <formula>NOT(ISERROR(SEARCH("VARIANCE",C143)))</formula>
    </cfRule>
  </conditionalFormatting>
  <conditionalFormatting sqref="I143:L143">
    <cfRule type="containsText" dxfId="5" priority="83" operator="containsText" text="VARIANCE">
      <formula>NOT(ISERROR(SEARCH("VARIANCE",I143)))</formula>
    </cfRule>
  </conditionalFormatting>
  <conditionalFormatting sqref="I148:L148">
    <cfRule type="containsText" dxfId="4" priority="82" operator="containsText" text="VARIANCE">
      <formula>NOT(ISERROR(SEARCH("VARIANCE",I148)))</formula>
    </cfRule>
  </conditionalFormatting>
  <conditionalFormatting sqref="I151:L151">
    <cfRule type="containsText" dxfId="3" priority="81" operator="containsText" text="VARIANCE">
      <formula>NOT(ISERROR(SEARCH("VARIANCE",I151)))</formula>
    </cfRule>
  </conditionalFormatting>
  <conditionalFormatting sqref="I154:L154">
    <cfRule type="containsText" dxfId="2" priority="80" operator="containsText" text="VARIANCE">
      <formula>NOT(ISERROR(SEARCH("VARIANCE",I154)))</formula>
    </cfRule>
  </conditionalFormatting>
  <conditionalFormatting sqref="I157:L157">
    <cfRule type="containsText" dxfId="1" priority="79" operator="containsText" text="VARIANCE">
      <formula>NOT(ISERROR(SEARCH("VARIANCE",I157)))</formula>
    </cfRule>
  </conditionalFormatting>
  <conditionalFormatting sqref="I160:L160">
    <cfRule type="containsText" dxfId="0" priority="78" operator="containsText" text="VARIANCE">
      <formula>NOT(ISERROR(SEARCH("VARIANCE",I160)))</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32:F133"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decimal" errorStyle="warning" allowBlank="1" showInputMessage="1" showErrorMessage="1" errorTitle="VARIANCE REPORT REQUIRED" error="Percentages below 90% or above 110% require an explanation in the VARIANCE REPORT/NOTES column." sqref="M27:M64" xr:uid="{00000000-0002-0000-0100-000003000000}">
      <formula1>0.9</formula1>
      <formula2>1.1</formula2>
    </dataValidation>
    <dataValidation type="list" allowBlank="1" showInputMessage="1" showErrorMessage="1" sqref="C27:C64" xr:uid="{00000000-0002-0000-0100-000004000000}">
      <formula1>$C$19:$C$21</formula1>
    </dataValidation>
    <dataValidation type="list" allowBlank="1" showInputMessage="1" showErrorMessage="1" sqref="C144:C147" xr:uid="{00000000-0002-0000-0100-000005000000}">
      <formula1>$F$19:$F$21</formula1>
    </dataValidation>
  </dataValidations>
  <pageMargins left="0.7" right="0.7" top="0.75" bottom="0.75" header="0.3" footer="0.3"/>
  <pageSetup scale="50" orientation="landscape" r:id="rId1"/>
  <headerFooter>
    <oddFooter>&amp;LCity of Santa Monica
Exhibit C3 - Program Budget&amp;C&amp;P&amp;RFiscal Year 2022-23
Human Services Grants Program</oddFooter>
  </headerFooter>
  <rowBreaks count="2" manualBreakCount="2">
    <brk id="85" max="13" man="1"/>
    <brk id="136" max="13" man="1"/>
  </rowBreaks>
  <ignoredErrors>
    <ignoredError sqref="M6 M10:M11 M7:M9 M12:M13" formula="1"/>
    <ignoredError sqref="L147:L162 L14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110" zoomScaleNormal="110" workbookViewId="0">
      <selection activeCell="D1" sqref="D1"/>
    </sheetView>
  </sheetViews>
  <sheetFormatPr defaultColWidth="8.85546875" defaultRowHeight="12.75" x14ac:dyDescent="0.2"/>
  <cols>
    <col min="1" max="1" width="53.7109375" style="312" customWidth="1"/>
    <col min="2" max="2" width="17.28515625" style="313" customWidth="1"/>
    <col min="3" max="4" width="18.140625" style="313" customWidth="1"/>
    <col min="5" max="5" width="17.28515625" style="313" customWidth="1"/>
    <col min="6" max="8" width="17.28515625" style="314" customWidth="1"/>
    <col min="9" max="9" width="14.85546875" style="288" bestFit="1" customWidth="1"/>
    <col min="10" max="16384" width="8.85546875" style="288"/>
  </cols>
  <sheetData>
    <row r="1" spans="1:9" ht="18" x14ac:dyDescent="0.2">
      <c r="A1" s="283" t="s">
        <v>36</v>
      </c>
      <c r="B1" s="284"/>
      <c r="C1" s="285"/>
      <c r="D1" s="286"/>
      <c r="E1" s="287"/>
      <c r="F1" s="288"/>
      <c r="G1" s="288"/>
      <c r="H1" s="288"/>
    </row>
    <row r="2" spans="1:9" ht="18" x14ac:dyDescent="0.2">
      <c r="A2" s="283" t="s">
        <v>197</v>
      </c>
      <c r="B2" s="283"/>
      <c r="C2" s="283"/>
      <c r="D2" s="289"/>
      <c r="E2" s="283"/>
      <c r="F2" s="283"/>
      <c r="G2" s="283"/>
      <c r="H2" s="288"/>
    </row>
    <row r="3" spans="1:9" x14ac:dyDescent="0.2">
      <c r="A3" s="284"/>
      <c r="B3" s="284"/>
      <c r="C3" s="285"/>
      <c r="D3" s="286"/>
      <c r="E3" s="287"/>
      <c r="F3" s="288"/>
      <c r="G3" s="288"/>
      <c r="H3" s="288"/>
    </row>
    <row r="4" spans="1:9" s="293" customFormat="1" ht="18.75" customHeight="1" x14ac:dyDescent="0.2">
      <c r="A4" s="290" t="s">
        <v>198</v>
      </c>
      <c r="B4" s="291" t="s">
        <v>199</v>
      </c>
      <c r="C4" s="292" t="s">
        <v>200</v>
      </c>
      <c r="D4" s="292" t="s">
        <v>201</v>
      </c>
    </row>
    <row r="5" spans="1:9" s="293" customFormat="1" ht="18.75" customHeight="1" x14ac:dyDescent="0.2">
      <c r="A5" s="294" t="s">
        <v>202</v>
      </c>
      <c r="B5" s="295">
        <v>284</v>
      </c>
      <c r="C5" s="296">
        <v>193</v>
      </c>
      <c r="D5" s="297">
        <v>235</v>
      </c>
    </row>
    <row r="6" spans="1:9" s="293" customFormat="1" ht="18.75" customHeight="1" x14ac:dyDescent="0.2">
      <c r="A6" s="298" t="s">
        <v>203</v>
      </c>
      <c r="B6" s="295">
        <v>213</v>
      </c>
      <c r="C6" s="296">
        <v>139</v>
      </c>
      <c r="D6" s="297">
        <v>140</v>
      </c>
    </row>
    <row r="7" spans="1:9" s="293" customFormat="1" ht="14.25" x14ac:dyDescent="0.2">
      <c r="A7" s="299"/>
      <c r="B7" s="299"/>
      <c r="C7" s="300"/>
      <c r="D7" s="299"/>
    </row>
    <row r="8" spans="1:9" s="293" customFormat="1" ht="45" x14ac:dyDescent="0.2">
      <c r="A8" s="301" t="s">
        <v>204</v>
      </c>
      <c r="B8" s="291" t="s">
        <v>199</v>
      </c>
      <c r="C8" s="292" t="s">
        <v>205</v>
      </c>
    </row>
    <row r="9" spans="1:9" s="293" customFormat="1" ht="14.25" x14ac:dyDescent="0.2">
      <c r="A9" s="299"/>
      <c r="B9" s="153">
        <f>IFERROR(('PROGRAM BUDGET &amp; FISCAL REPORT'!G13/'PARTICIPANTS &amp; DEMOGRAPHICS'!B5),"N/A")</f>
        <v>10886.073144062651</v>
      </c>
      <c r="C9" s="315">
        <f>IFERROR(('PROGRAM BUDGET &amp; FISCAL REPORT'!N13/'PARTICIPANTS &amp; DEMOGRAPHICS'!D5),"N/A")</f>
        <v>9666.1913492198564</v>
      </c>
      <c r="D9" s="299"/>
      <c r="F9" s="299"/>
    </row>
    <row r="10" spans="1:9" s="293" customFormat="1" ht="14.25" x14ac:dyDescent="0.2">
      <c r="A10" s="299"/>
      <c r="B10" s="299"/>
      <c r="C10" s="299"/>
      <c r="D10" s="299"/>
      <c r="F10" s="299"/>
      <c r="G10" s="299"/>
      <c r="H10" s="300"/>
      <c r="I10" s="299"/>
    </row>
    <row r="11" spans="1:9" s="293" customFormat="1" ht="14.25" x14ac:dyDescent="0.2">
      <c r="A11" s="299"/>
      <c r="B11" s="299"/>
      <c r="C11" s="300"/>
      <c r="D11" s="299"/>
    </row>
    <row r="12" spans="1:9" s="293" customFormat="1" ht="15" x14ac:dyDescent="0.2">
      <c r="A12" s="302" t="s">
        <v>206</v>
      </c>
      <c r="B12" s="303"/>
      <c r="C12" s="303"/>
      <c r="D12" s="304"/>
    </row>
    <row r="13" spans="1:9" s="293" customFormat="1" ht="15" x14ac:dyDescent="0.2">
      <c r="A13" s="305" t="s">
        <v>207</v>
      </c>
      <c r="B13" s="306"/>
      <c r="C13" s="306"/>
      <c r="D13" s="307"/>
    </row>
    <row r="14" spans="1:9" s="308" customFormat="1" ht="14.25" x14ac:dyDescent="0.2">
      <c r="C14" s="309"/>
    </row>
    <row r="15" spans="1:9" s="308" customFormat="1" ht="15" x14ac:dyDescent="0.2">
      <c r="A15" s="310" t="s">
        <v>208</v>
      </c>
      <c r="C15" s="309"/>
    </row>
    <row r="16" spans="1:9" s="308" customFormat="1" ht="14.25" x14ac:dyDescent="0.2">
      <c r="A16" s="311" t="s">
        <v>209</v>
      </c>
      <c r="C16" s="309"/>
    </row>
    <row r="17" spans="1:3" s="308" customFormat="1" ht="14.25" x14ac:dyDescent="0.2">
      <c r="A17" s="311" t="s">
        <v>210</v>
      </c>
      <c r="C17" s="309"/>
    </row>
    <row r="18" spans="1:3" s="308" customFormat="1" ht="14.25" x14ac:dyDescent="0.2">
      <c r="A18" s="311" t="s">
        <v>211</v>
      </c>
      <c r="C18" s="309"/>
    </row>
    <row r="19" spans="1:3" s="308" customFormat="1" ht="14.25" x14ac:dyDescent="0.2">
      <c r="A19" s="311" t="s">
        <v>212</v>
      </c>
      <c r="C19" s="309"/>
    </row>
    <row r="20" spans="1:3" s="308" customFormat="1" ht="14.25" x14ac:dyDescent="0.2">
      <c r="A20" s="311"/>
      <c r="C20" s="309"/>
    </row>
    <row r="21" spans="1:3" s="309" customFormat="1" ht="15" x14ac:dyDescent="0.2">
      <c r="A21" s="310" t="s">
        <v>213</v>
      </c>
    </row>
    <row r="22" spans="1:3" s="309" customFormat="1" ht="14.25" x14ac:dyDescent="0.2">
      <c r="A22" s="311" t="s">
        <v>214</v>
      </c>
    </row>
    <row r="23" spans="1:3" s="309" customFormat="1" ht="14.25" x14ac:dyDescent="0.2">
      <c r="A23" s="311" t="s">
        <v>215</v>
      </c>
    </row>
    <row r="24" spans="1:3" s="309" customFormat="1" ht="14.25" x14ac:dyDescent="0.2">
      <c r="A24" s="311"/>
    </row>
    <row r="25" spans="1:3" s="309" customFormat="1" ht="15" x14ac:dyDescent="0.2">
      <c r="A25" s="310" t="s">
        <v>216</v>
      </c>
    </row>
    <row r="26" spans="1:3" s="309" customFormat="1" ht="14.25" x14ac:dyDescent="0.2">
      <c r="A26" s="311" t="s">
        <v>217</v>
      </c>
    </row>
    <row r="27" spans="1:3" s="309" customFormat="1" ht="14.25" x14ac:dyDescent="0.2">
      <c r="A27" s="311"/>
    </row>
    <row r="28" spans="1:3" s="309" customFormat="1" ht="15" x14ac:dyDescent="0.2">
      <c r="A28" s="310" t="s">
        <v>218</v>
      </c>
    </row>
    <row r="29" spans="1:3" s="309" customFormat="1" ht="14.25" x14ac:dyDescent="0.2">
      <c r="A29" s="311" t="s">
        <v>219</v>
      </c>
    </row>
    <row r="30" spans="1:3" s="309" customFormat="1" ht="14.25" x14ac:dyDescent="0.2">
      <c r="A30" s="311" t="s">
        <v>220</v>
      </c>
    </row>
    <row r="31" spans="1:3" s="309" customFormat="1" ht="14.25" x14ac:dyDescent="0.2">
      <c r="A31" s="311" t="s">
        <v>221</v>
      </c>
    </row>
    <row r="32" spans="1:3" s="309" customFormat="1" ht="14.25" x14ac:dyDescent="0.2">
      <c r="A32" s="311" t="s">
        <v>222</v>
      </c>
    </row>
    <row r="33" spans="1:3" s="309" customFormat="1" ht="14.25" x14ac:dyDescent="0.2">
      <c r="A33" s="311" t="s">
        <v>223</v>
      </c>
    </row>
    <row r="34" spans="1:3" s="309" customFormat="1" ht="14.25" x14ac:dyDescent="0.2">
      <c r="A34" s="311" t="s">
        <v>224</v>
      </c>
    </row>
    <row r="35" spans="1:3" s="309" customFormat="1" ht="14.25" x14ac:dyDescent="0.2">
      <c r="A35" s="311"/>
    </row>
    <row r="36" spans="1:3" s="309" customFormat="1" ht="15" x14ac:dyDescent="0.2">
      <c r="A36" s="310" t="s">
        <v>225</v>
      </c>
    </row>
    <row r="37" spans="1:3" s="309" customFormat="1" ht="14.25" x14ac:dyDescent="0.2">
      <c r="A37" s="311" t="s">
        <v>226</v>
      </c>
    </row>
    <row r="38" spans="1:3" s="309" customFormat="1" ht="14.25" x14ac:dyDescent="0.2">
      <c r="A38" s="311" t="s">
        <v>227</v>
      </c>
    </row>
    <row r="39" spans="1:3" s="309" customFormat="1" ht="14.25" x14ac:dyDescent="0.2">
      <c r="A39" s="311" t="s">
        <v>228</v>
      </c>
    </row>
    <row r="40" spans="1:3" s="309" customFormat="1" ht="14.25" x14ac:dyDescent="0.2">
      <c r="A40" s="311"/>
    </row>
    <row r="41" spans="1:3" s="308" customFormat="1" ht="15" x14ac:dyDescent="0.2">
      <c r="A41" s="310" t="s">
        <v>229</v>
      </c>
      <c r="C41" s="309"/>
    </row>
    <row r="42" spans="1:3" s="308" customFormat="1" ht="14.25" x14ac:dyDescent="0.2">
      <c r="A42" s="311" t="s">
        <v>230</v>
      </c>
      <c r="C42" s="309"/>
    </row>
    <row r="43" spans="1:3" s="308" customFormat="1" ht="14.25" x14ac:dyDescent="0.2">
      <c r="A43" s="311" t="s">
        <v>231</v>
      </c>
      <c r="C43" s="309"/>
    </row>
    <row r="44" spans="1:3" s="308" customFormat="1" ht="14.25" x14ac:dyDescent="0.2">
      <c r="A44" s="311"/>
      <c r="C44" s="309"/>
    </row>
    <row r="45" spans="1:3" s="308" customFormat="1" ht="15" x14ac:dyDescent="0.2">
      <c r="A45" s="310" t="s">
        <v>232</v>
      </c>
      <c r="C45" s="309"/>
    </row>
    <row r="46" spans="1:3" s="308" customFormat="1" ht="14.25" x14ac:dyDescent="0.2">
      <c r="A46" s="311" t="s">
        <v>233</v>
      </c>
      <c r="C46" s="309"/>
    </row>
    <row r="47" spans="1:3" s="308" customFormat="1" ht="14.25" x14ac:dyDescent="0.2">
      <c r="A47" s="311" t="s">
        <v>234</v>
      </c>
      <c r="C47" s="309"/>
    </row>
    <row r="48" spans="1:3" x14ac:dyDescent="0.2">
      <c r="C48" s="314"/>
    </row>
    <row r="49" spans="1:3" ht="45" x14ac:dyDescent="0.2">
      <c r="A49" s="301" t="s">
        <v>235</v>
      </c>
      <c r="B49" s="291" t="s">
        <v>199</v>
      </c>
      <c r="C49" s="292" t="s">
        <v>205</v>
      </c>
    </row>
    <row r="50" spans="1:3" ht="14.25" x14ac:dyDescent="0.2">
      <c r="A50" s="299"/>
      <c r="B50" s="104" t="str">
        <f>IFERROR(('PROGRAM BUDGET &amp; FISCAL REPORT'!G13/'PARTICIPANTS &amp; DEMOGRAPHICS'!B4),"N/A")</f>
        <v>N/A</v>
      </c>
      <c r="C50" s="104" t="str">
        <f>IFERROR(('PROGRAM BUDGET &amp; FISCAL REPORT'!N13/'PARTICIPANTS &amp; DEMOGRAPHICS'!D4),"N/A")</f>
        <v>N/A</v>
      </c>
    </row>
  </sheetData>
  <sheetProtection algorithmName="SHA-512" hashValue="8PRoGZRIOT80DzbKPEl7FJ35psG9ILwV89yJaVqXG+hpM1tRBZU6O2Vzv18XNhCQ7kppXrD+sY8Mhwy8E5lw+w==" saltValue="DTWjPX04r5NwwWAjh60tTQ==" spinCount="100000" sheet="1" objects="1" scenarios="1"/>
  <pageMargins left="0.7" right="0.7" top="0.75" bottom="0.75" header="0.3" footer="0.3"/>
  <pageSetup scale="65" orientation="portrait" horizontalDpi="4294967295" verticalDpi="4294967295" r:id="rId1"/>
  <headerFooter>
    <oddFooter>&amp;LCity of Santa Monica
Exhibit C3 -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0" hidden="1" customWidth="1"/>
    <col min="2" max="2" width="48.85546875" style="40"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0"/>
  </cols>
  <sheetData>
    <row r="1" spans="1:8" ht="18" x14ac:dyDescent="0.25">
      <c r="A1" s="20"/>
      <c r="B1" s="29" t="s">
        <v>36</v>
      </c>
      <c r="C1" s="40"/>
      <c r="D1" s="40"/>
      <c r="E1" s="40"/>
      <c r="F1" s="40"/>
      <c r="G1" s="40"/>
    </row>
    <row r="2" spans="1:8" ht="18" x14ac:dyDescent="0.25">
      <c r="A2" s="20"/>
      <c r="B2" s="29" t="s">
        <v>236</v>
      </c>
      <c r="C2" s="40"/>
      <c r="D2" s="40"/>
      <c r="E2" s="40"/>
      <c r="F2" s="40"/>
      <c r="G2" s="40"/>
    </row>
    <row r="3" spans="1:8" ht="22.5" customHeight="1" x14ac:dyDescent="0.25">
      <c r="A3" s="20"/>
      <c r="B3" s="158" t="str">
        <f>'PROGRAM BUDGET &amp; FISCAL REPORT'!A6</f>
        <v>AGENCY NAME:</v>
      </c>
      <c r="C3" s="105" t="str">
        <f>'PROGRAM BUDGET &amp; FISCAL REPORT'!B6</f>
        <v>The People Concern</v>
      </c>
      <c r="D3" s="106"/>
      <c r="E3" s="106"/>
      <c r="F3" s="106"/>
      <c r="G3" s="40"/>
    </row>
    <row r="4" spans="1:8" ht="22.5" customHeight="1" x14ac:dyDescent="0.25">
      <c r="A4" s="20"/>
      <c r="B4" s="158" t="str">
        <f>'PROGRAM BUDGET &amp; FISCAL REPORT'!A7</f>
        <v>PROGRAM NAME:</v>
      </c>
      <c r="C4" s="107" t="str">
        <f>'PROGRAM BUDGET &amp; FISCAL REPORT'!B7</f>
        <v>Interim Housing and Wellness Program</v>
      </c>
      <c r="D4" s="108"/>
      <c r="E4" s="108"/>
      <c r="F4" s="108"/>
      <c r="G4" s="40"/>
    </row>
    <row r="5" spans="1:8" ht="8.25" customHeight="1" thickBot="1" x14ac:dyDescent="0.25">
      <c r="A5" s="20"/>
      <c r="B5" s="156"/>
      <c r="C5" s="40"/>
      <c r="D5" s="40"/>
      <c r="E5" s="40"/>
      <c r="F5" s="40"/>
      <c r="G5" s="40"/>
    </row>
    <row r="6" spans="1:8" ht="52.5" customHeight="1" x14ac:dyDescent="0.55000000000000004">
      <c r="B6" s="42" t="s">
        <v>237</v>
      </c>
      <c r="C6" s="43" t="s">
        <v>238</v>
      </c>
      <c r="D6" s="43"/>
      <c r="E6" s="43" t="s">
        <v>239</v>
      </c>
      <c r="F6" s="44"/>
      <c r="G6" s="40"/>
    </row>
    <row r="7" spans="1:8" ht="14.25" x14ac:dyDescent="0.2">
      <c r="B7" s="45" t="s">
        <v>240</v>
      </c>
      <c r="C7" s="46">
        <f>'PARTICIPANTS &amp; DEMOGRAPHICS'!B5</f>
        <v>284</v>
      </c>
      <c r="D7" s="47"/>
      <c r="E7" s="47">
        <f>'PARTICIPANTS &amp; DEMOGRAPHICS'!D5</f>
        <v>235</v>
      </c>
      <c r="F7" s="48"/>
      <c r="G7" s="40"/>
    </row>
    <row r="8" spans="1:8" ht="14.25" x14ac:dyDescent="0.2">
      <c r="B8" s="49" t="s">
        <v>241</v>
      </c>
      <c r="C8" s="46">
        <f>'PARTICIPANTS &amp; DEMOGRAPHICS'!B6</f>
        <v>213</v>
      </c>
      <c r="D8" s="47"/>
      <c r="E8" s="47">
        <f>'PARTICIPANTS &amp; DEMOGRAPHICS'!D6</f>
        <v>140</v>
      </c>
      <c r="F8" s="48"/>
      <c r="G8" s="40"/>
    </row>
    <row r="9" spans="1:8" ht="14.25" x14ac:dyDescent="0.2">
      <c r="B9" s="45" t="s">
        <v>242</v>
      </c>
      <c r="C9" s="70">
        <f>IFERROR(C8/C7, "N/A")</f>
        <v>0.75</v>
      </c>
      <c r="D9" s="51"/>
      <c r="E9" s="114">
        <f>IFERROR(E8/E7, "N/A")</f>
        <v>0.5957446808510638</v>
      </c>
      <c r="F9" s="48"/>
      <c r="G9" s="40"/>
    </row>
    <row r="10" spans="1:8" ht="14.25" x14ac:dyDescent="0.2">
      <c r="B10" s="45"/>
      <c r="C10" s="50"/>
      <c r="D10" s="51"/>
      <c r="E10" s="46"/>
      <c r="F10" s="48"/>
      <c r="G10" s="40"/>
    </row>
    <row r="11" spans="1:8" ht="63.75" customHeight="1" x14ac:dyDescent="0.55000000000000004">
      <c r="B11" s="52" t="s">
        <v>243</v>
      </c>
      <c r="C11" s="154" t="s">
        <v>244</v>
      </c>
      <c r="D11" s="154" t="s">
        <v>245</v>
      </c>
      <c r="E11" s="154" t="s">
        <v>246</v>
      </c>
      <c r="F11" s="155" t="s">
        <v>247</v>
      </c>
      <c r="G11" s="40"/>
    </row>
    <row r="12" spans="1:8" ht="16.5" customHeight="1" x14ac:dyDescent="0.2">
      <c r="B12" s="45" t="s">
        <v>248</v>
      </c>
      <c r="C12" s="109">
        <f>'PROGRAM BUDGET &amp; FISCAL REPORT'!G13</f>
        <v>3091644.7729137931</v>
      </c>
      <c r="D12" s="109">
        <f>'PROGRAM BUDGET &amp; FISCAL REPORT'!H13</f>
        <v>907852.82106934674</v>
      </c>
      <c r="E12" s="109">
        <f>'PROGRAM BUDGET &amp; FISCAL REPORT'!N13</f>
        <v>2271554.9670666661</v>
      </c>
      <c r="F12" s="110">
        <f>'PROGRAM BUDGET &amp; FISCAL REPORT'!L13</f>
        <v>907852.69539739995</v>
      </c>
      <c r="G12" s="40"/>
    </row>
    <row r="13" spans="1:8" ht="16.5" customHeight="1" x14ac:dyDescent="0.2">
      <c r="B13" s="45"/>
      <c r="C13" s="53"/>
      <c r="D13" s="53"/>
      <c r="E13" s="53"/>
      <c r="F13" s="54"/>
      <c r="G13" s="40"/>
    </row>
    <row r="14" spans="1:8" ht="19.5" x14ac:dyDescent="0.55000000000000004">
      <c r="B14" s="52" t="s">
        <v>249</v>
      </c>
      <c r="C14" s="321" t="s">
        <v>250</v>
      </c>
      <c r="D14" s="321"/>
      <c r="E14" s="321" t="s">
        <v>251</v>
      </c>
      <c r="F14" s="322"/>
      <c r="G14" s="40"/>
    </row>
    <row r="15" spans="1:8" ht="14.25" x14ac:dyDescent="0.2">
      <c r="B15" s="45" t="s">
        <v>252</v>
      </c>
      <c r="C15" s="111">
        <f>IFERROR(C12*C9,"N/A")</f>
        <v>2318733.5796853448</v>
      </c>
      <c r="D15" s="55">
        <f>IFERROR(C15/C12,"N/A")</f>
        <v>0.75</v>
      </c>
      <c r="E15" s="112">
        <f>IFERROR(E12*E9,"N/A")</f>
        <v>1353266.7888907797</v>
      </c>
      <c r="F15" s="57">
        <f>IFERROR(E15/E12,"N/A")</f>
        <v>0.5957446808510638</v>
      </c>
      <c r="G15" s="40"/>
    </row>
    <row r="16" spans="1:8" ht="14.25" x14ac:dyDescent="0.2">
      <c r="B16" s="45" t="s">
        <v>253</v>
      </c>
      <c r="C16" s="111">
        <f>D12</f>
        <v>907852.82106934674</v>
      </c>
      <c r="D16" s="55">
        <f>IFERROR(C16/C15, "N/A")</f>
        <v>0.39152959573412638</v>
      </c>
      <c r="E16" s="112">
        <f>F12</f>
        <v>907852.69539739995</v>
      </c>
      <c r="F16" s="57">
        <f>IFERROR(E16/E15, "N/A")</f>
        <v>0.67086010153366105</v>
      </c>
      <c r="G16" s="40"/>
      <c r="H16" s="41"/>
    </row>
    <row r="17" spans="2:7" ht="15" thickBot="1" x14ac:dyDescent="0.25">
      <c r="B17" s="45"/>
      <c r="C17" s="30"/>
      <c r="D17" s="55"/>
      <c r="E17" s="56"/>
      <c r="F17" s="57"/>
      <c r="G17" s="40"/>
    </row>
    <row r="18" spans="2:7" ht="15.75" thickBot="1" x14ac:dyDescent="0.3">
      <c r="B18" s="58" t="s">
        <v>254</v>
      </c>
      <c r="C18" s="113">
        <f>IFERROR(C15-C16,"N/A")</f>
        <v>1410880.7586159981</v>
      </c>
      <c r="D18" s="59">
        <f>IFERROR(C18/C15, "N/A")</f>
        <v>0.60847040426587362</v>
      </c>
      <c r="E18" s="113">
        <f>IFERROR(E15-E16, "N/A")</f>
        <v>445414.09349337977</v>
      </c>
      <c r="F18" s="60">
        <f>IFERROR(E18/E15, "N/A")</f>
        <v>0.32913989846633895</v>
      </c>
      <c r="G18" s="40"/>
    </row>
    <row r="19" spans="2:7" ht="30.75" thickBot="1" x14ac:dyDescent="0.3">
      <c r="B19" s="45"/>
      <c r="C19" s="61"/>
      <c r="D19" s="62" t="s">
        <v>255</v>
      </c>
      <c r="E19" s="47"/>
      <c r="F19" s="62" t="s">
        <v>255</v>
      </c>
    </row>
    <row r="20" spans="2:7" s="1" customFormat="1" ht="12.75" x14ac:dyDescent="0.2">
      <c r="B20" s="40"/>
      <c r="C20" s="36"/>
      <c r="D20" s="36"/>
      <c r="E20" s="36"/>
      <c r="F20" s="36"/>
      <c r="G20" s="36"/>
    </row>
  </sheetData>
  <sheetProtection algorithmName="SHA-512" hashValue="NhGVTAzyaVfscOEILfvQokTcqBxgPDbljc0NcfqJeJS32t0gq1J6rGSpQJ5aXL+hgJP0j76jZPPjL7WaMccnsw==" saltValue="YqjCw1Puv0cos0KdGtAOD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C3 -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55"/>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7" customFormat="1" ht="18" x14ac:dyDescent="0.2">
      <c r="A1" s="38" t="s">
        <v>36</v>
      </c>
      <c r="B1" s="71"/>
      <c r="C1" s="39"/>
      <c r="D1" s="39"/>
      <c r="E1" s="39"/>
      <c r="F1" s="21"/>
      <c r="G1" s="21"/>
    </row>
    <row r="2" spans="1:7" ht="18" x14ac:dyDescent="0.25">
      <c r="A2" s="323" t="s">
        <v>256</v>
      </c>
      <c r="B2" s="324"/>
      <c r="C2" s="324"/>
      <c r="D2" s="324"/>
      <c r="E2" s="324"/>
      <c r="F2" s="159"/>
      <c r="G2" s="159"/>
    </row>
    <row r="3" spans="1:7" ht="15.75" x14ac:dyDescent="0.2">
      <c r="A3" s="115"/>
      <c r="B3" s="159"/>
      <c r="C3" s="159"/>
      <c r="D3" s="159"/>
      <c r="E3" s="159"/>
      <c r="F3" s="159"/>
      <c r="G3" s="159"/>
    </row>
    <row r="4" spans="1:7" ht="79.5" customHeight="1" x14ac:dyDescent="0.2">
      <c r="A4" s="325" t="s">
        <v>257</v>
      </c>
      <c r="B4" s="326"/>
      <c r="C4" s="326"/>
      <c r="D4" s="326"/>
      <c r="E4" s="326"/>
      <c r="F4" s="159"/>
      <c r="G4" s="159"/>
    </row>
    <row r="5" spans="1:7" ht="15" x14ac:dyDescent="0.2">
      <c r="A5" s="116"/>
      <c r="B5" s="117"/>
      <c r="C5" s="117"/>
      <c r="D5" s="117"/>
      <c r="E5" s="117"/>
      <c r="F5" s="159"/>
      <c r="G5" s="159"/>
    </row>
    <row r="6" spans="1:7" ht="45" x14ac:dyDescent="0.25">
      <c r="A6" s="327" t="s">
        <v>258</v>
      </c>
      <c r="B6" s="328"/>
      <c r="C6" s="157" t="s">
        <v>259</v>
      </c>
      <c r="D6" s="157" t="s">
        <v>260</v>
      </c>
      <c r="E6" s="118" t="s">
        <v>261</v>
      </c>
      <c r="F6" s="159"/>
      <c r="G6" s="159"/>
    </row>
    <row r="7" spans="1:7" ht="15" x14ac:dyDescent="0.25">
      <c r="A7" s="119" t="s">
        <v>262</v>
      </c>
      <c r="B7" s="120"/>
      <c r="C7" s="119"/>
      <c r="D7" s="119"/>
      <c r="E7" s="119"/>
      <c r="F7" s="159"/>
      <c r="G7" s="159"/>
    </row>
    <row r="8" spans="1:7" ht="15" x14ac:dyDescent="0.25">
      <c r="A8" s="121" t="s">
        <v>60</v>
      </c>
      <c r="B8" s="121" t="s">
        <v>263</v>
      </c>
      <c r="C8" s="122">
        <v>10000</v>
      </c>
      <c r="D8" s="122">
        <v>15000</v>
      </c>
      <c r="E8" s="119"/>
      <c r="F8" s="159"/>
      <c r="G8" s="159"/>
    </row>
    <row r="9" spans="1:7" ht="15" x14ac:dyDescent="0.25">
      <c r="A9" s="123"/>
      <c r="B9" s="124"/>
      <c r="C9" s="124"/>
      <c r="D9" s="159"/>
      <c r="E9" s="125"/>
      <c r="F9" s="159"/>
      <c r="G9" s="159"/>
    </row>
    <row r="10" spans="1:7" ht="15" x14ac:dyDescent="0.25">
      <c r="A10" s="329" t="s">
        <v>182</v>
      </c>
      <c r="B10" s="330"/>
      <c r="C10" s="330"/>
      <c r="D10" s="330"/>
      <c r="E10" s="330"/>
      <c r="F10" s="159"/>
      <c r="G10" s="159"/>
    </row>
    <row r="11" spans="1:7" ht="14.25" x14ac:dyDescent="0.2">
      <c r="A11" s="126" t="s">
        <v>264</v>
      </c>
      <c r="B11" s="126" t="s">
        <v>265</v>
      </c>
      <c r="C11" s="135">
        <v>25972852.403999999</v>
      </c>
      <c r="D11" s="135">
        <v>27049401</v>
      </c>
      <c r="E11" s="127"/>
      <c r="F11" s="159"/>
      <c r="G11" s="159"/>
    </row>
    <row r="12" spans="1:7" ht="14.25" x14ac:dyDescent="0.2">
      <c r="A12" s="126" t="s">
        <v>266</v>
      </c>
      <c r="B12" s="126" t="s">
        <v>267</v>
      </c>
      <c r="C12" s="135">
        <v>19014254.899999999</v>
      </c>
      <c r="D12" s="135">
        <v>19479447.5</v>
      </c>
      <c r="E12" s="127"/>
      <c r="F12" s="159"/>
      <c r="G12" s="159"/>
    </row>
    <row r="13" spans="1:7" ht="14.25" x14ac:dyDescent="0.2">
      <c r="A13" s="126" t="s">
        <v>264</v>
      </c>
      <c r="B13" s="126" t="s">
        <v>268</v>
      </c>
      <c r="C13" s="135">
        <v>9262121.9099999983</v>
      </c>
      <c r="D13" s="135">
        <v>12657151</v>
      </c>
      <c r="E13" s="127"/>
      <c r="F13" s="159"/>
      <c r="G13" s="159"/>
    </row>
    <row r="14" spans="1:7" ht="14.25" x14ac:dyDescent="0.2">
      <c r="A14" s="126" t="s">
        <v>269</v>
      </c>
      <c r="B14" s="126" t="s">
        <v>270</v>
      </c>
      <c r="C14" s="135">
        <v>2141086.92</v>
      </c>
      <c r="D14" s="135">
        <v>2141087</v>
      </c>
      <c r="E14" s="127"/>
      <c r="F14" s="159"/>
      <c r="G14" s="159"/>
    </row>
    <row r="15" spans="1:7" ht="14.25" x14ac:dyDescent="0.2">
      <c r="A15" s="126" t="s">
        <v>60</v>
      </c>
      <c r="B15" s="126" t="s">
        <v>271</v>
      </c>
      <c r="C15" s="135">
        <v>689943.6</v>
      </c>
      <c r="D15" s="135">
        <v>786956</v>
      </c>
      <c r="E15" s="127"/>
      <c r="F15" s="159"/>
      <c r="G15" s="159"/>
    </row>
    <row r="16" spans="1:7" ht="14.25" x14ac:dyDescent="0.2">
      <c r="A16" s="126" t="s">
        <v>269</v>
      </c>
      <c r="B16" s="126" t="s">
        <v>272</v>
      </c>
      <c r="C16" s="135">
        <v>540494.10400000005</v>
      </c>
      <c r="D16" s="135">
        <v>656800</v>
      </c>
      <c r="E16" s="127"/>
      <c r="F16" s="159"/>
      <c r="G16" s="159"/>
    </row>
    <row r="17" spans="1:5" ht="14.25" x14ac:dyDescent="0.2">
      <c r="A17" s="126" t="s">
        <v>269</v>
      </c>
      <c r="B17" s="126" t="s">
        <v>273</v>
      </c>
      <c r="C17" s="135">
        <v>507697.76399999997</v>
      </c>
      <c r="D17" s="135">
        <v>628500</v>
      </c>
      <c r="E17" s="127"/>
    </row>
    <row r="18" spans="1:5" ht="14.25" x14ac:dyDescent="0.2">
      <c r="A18" s="126" t="s">
        <v>269</v>
      </c>
      <c r="B18" s="126" t="s">
        <v>274</v>
      </c>
      <c r="C18" s="135">
        <v>528537.14199999999</v>
      </c>
      <c r="D18" s="135">
        <v>611928.66666666674</v>
      </c>
      <c r="E18" s="127"/>
    </row>
    <row r="19" spans="1:5" ht="14.25" x14ac:dyDescent="0.2">
      <c r="A19" s="126" t="s">
        <v>57</v>
      </c>
      <c r="B19" s="126" t="s">
        <v>275</v>
      </c>
      <c r="C19" s="135">
        <v>205500</v>
      </c>
      <c r="D19" s="135">
        <v>500000</v>
      </c>
      <c r="E19" s="127"/>
    </row>
    <row r="20" spans="1:5" ht="14.25" x14ac:dyDescent="0.2">
      <c r="A20" s="126" t="s">
        <v>276</v>
      </c>
      <c r="B20" s="126" t="s">
        <v>277</v>
      </c>
      <c r="C20" s="135">
        <v>104682</v>
      </c>
      <c r="D20" s="135">
        <v>470416</v>
      </c>
      <c r="E20" s="127"/>
    </row>
    <row r="21" spans="1:5" ht="14.25" x14ac:dyDescent="0.2">
      <c r="A21" s="126" t="s">
        <v>269</v>
      </c>
      <c r="B21" s="126" t="s">
        <v>278</v>
      </c>
      <c r="C21" s="135">
        <v>285985.06</v>
      </c>
      <c r="D21" s="135">
        <v>355000</v>
      </c>
      <c r="E21" s="127"/>
    </row>
    <row r="22" spans="1:5" ht="14.25" x14ac:dyDescent="0.2">
      <c r="A22" s="126" t="s">
        <v>57</v>
      </c>
      <c r="B22" s="126" t="s">
        <v>279</v>
      </c>
      <c r="C22" s="135">
        <v>86597.6</v>
      </c>
      <c r="D22" s="135">
        <v>108838</v>
      </c>
      <c r="E22" s="127"/>
    </row>
    <row r="23" spans="1:5" ht="14.25" x14ac:dyDescent="0.2">
      <c r="A23" s="126" t="s">
        <v>280</v>
      </c>
      <c r="B23" s="126" t="s">
        <v>281</v>
      </c>
      <c r="C23" s="135">
        <v>94195.920000000013</v>
      </c>
      <c r="D23" s="135">
        <v>104302</v>
      </c>
      <c r="E23" s="127"/>
    </row>
    <row r="24" spans="1:5" ht="14.25" x14ac:dyDescent="0.2">
      <c r="A24" s="126" t="s">
        <v>264</v>
      </c>
      <c r="B24" s="126" t="s">
        <v>282</v>
      </c>
      <c r="C24" s="135">
        <v>51800.399999999994</v>
      </c>
      <c r="D24" s="135">
        <v>82000</v>
      </c>
      <c r="E24" s="127"/>
    </row>
    <row r="25" spans="1:5" ht="14.25" x14ac:dyDescent="0.2">
      <c r="A25" s="126" t="s">
        <v>264</v>
      </c>
      <c r="B25" s="126" t="s">
        <v>283</v>
      </c>
      <c r="C25" s="135">
        <v>78912</v>
      </c>
      <c r="D25" s="135">
        <v>78912</v>
      </c>
      <c r="E25" s="127"/>
    </row>
    <row r="26" spans="1:5" ht="14.25" x14ac:dyDescent="0.2">
      <c r="A26" s="126" t="s">
        <v>280</v>
      </c>
      <c r="B26" s="126" t="s">
        <v>284</v>
      </c>
      <c r="C26" s="135">
        <v>175825.16</v>
      </c>
      <c r="D26" s="135">
        <v>98300</v>
      </c>
      <c r="E26" s="128"/>
    </row>
    <row r="27" spans="1:5" ht="14.25" x14ac:dyDescent="0.2">
      <c r="A27" s="129"/>
      <c r="B27" s="129"/>
      <c r="C27" s="129"/>
      <c r="D27" s="130"/>
      <c r="E27" s="131"/>
    </row>
    <row r="28" spans="1:5" ht="15" x14ac:dyDescent="0.25">
      <c r="A28" s="329" t="s">
        <v>186</v>
      </c>
      <c r="B28" s="330"/>
      <c r="C28" s="330"/>
      <c r="D28" s="330"/>
      <c r="E28" s="330"/>
    </row>
    <row r="29" spans="1:5" ht="14.25" x14ac:dyDescent="0.2">
      <c r="A29" s="159"/>
      <c r="B29" s="126" t="s">
        <v>285</v>
      </c>
      <c r="C29" s="135">
        <v>9291381.8800000008</v>
      </c>
      <c r="D29" s="135">
        <v>5284807</v>
      </c>
      <c r="E29" s="127" t="s">
        <v>286</v>
      </c>
    </row>
    <row r="30" spans="1:5" ht="14.25" x14ac:dyDescent="0.2">
      <c r="A30" s="159"/>
      <c r="B30" s="126"/>
      <c r="C30" s="135"/>
      <c r="D30" s="135"/>
      <c r="E30" s="128"/>
    </row>
    <row r="31" spans="1:5" ht="14.25" x14ac:dyDescent="0.2">
      <c r="A31" s="129"/>
      <c r="B31" s="129"/>
      <c r="C31" s="129"/>
      <c r="D31" s="130"/>
      <c r="E31" s="131"/>
    </row>
    <row r="32" spans="1:5" ht="15" x14ac:dyDescent="0.25">
      <c r="A32" s="329" t="s">
        <v>188</v>
      </c>
      <c r="B32" s="330"/>
      <c r="C32" s="330"/>
      <c r="D32" s="330"/>
      <c r="E32" s="330"/>
    </row>
    <row r="33" spans="1:5" ht="14.25" x14ac:dyDescent="0.2">
      <c r="A33" s="159"/>
      <c r="B33" s="126" t="s">
        <v>189</v>
      </c>
      <c r="C33" s="135">
        <v>3270324.75</v>
      </c>
      <c r="D33" s="135">
        <v>4610750</v>
      </c>
      <c r="E33" s="127"/>
    </row>
    <row r="34" spans="1:5" ht="14.25" x14ac:dyDescent="0.2">
      <c r="A34" s="159"/>
      <c r="B34" s="126"/>
      <c r="C34" s="135"/>
      <c r="D34" s="135"/>
      <c r="E34" s="128"/>
    </row>
    <row r="35" spans="1:5" ht="14.25" x14ac:dyDescent="0.2">
      <c r="A35" s="129"/>
      <c r="B35" s="129"/>
      <c r="C35" s="129"/>
      <c r="D35" s="130"/>
      <c r="E35" s="131"/>
    </row>
    <row r="36" spans="1:5" ht="15" x14ac:dyDescent="0.25">
      <c r="A36" s="329" t="s">
        <v>190</v>
      </c>
      <c r="B36" s="330"/>
      <c r="C36" s="330"/>
      <c r="D36" s="330"/>
      <c r="E36" s="330"/>
    </row>
    <row r="37" spans="1:5" ht="14.25" x14ac:dyDescent="0.2">
      <c r="A37" s="159"/>
      <c r="B37" s="126" t="s">
        <v>175</v>
      </c>
      <c r="C37" s="135">
        <v>0</v>
      </c>
      <c r="D37" s="135">
        <v>0</v>
      </c>
      <c r="E37" s="127"/>
    </row>
    <row r="38" spans="1:5" ht="14.25" x14ac:dyDescent="0.2">
      <c r="A38" s="159"/>
      <c r="B38" s="126" t="s">
        <v>175</v>
      </c>
      <c r="C38" s="135">
        <v>0</v>
      </c>
      <c r="D38" s="135">
        <v>0</v>
      </c>
      <c r="E38" s="128"/>
    </row>
    <row r="39" spans="1:5" ht="14.25" x14ac:dyDescent="0.2">
      <c r="A39" s="129"/>
      <c r="B39" s="129"/>
      <c r="C39" s="129"/>
      <c r="D39" s="130"/>
      <c r="E39" s="131"/>
    </row>
    <row r="40" spans="1:5" ht="15" x14ac:dyDescent="0.25">
      <c r="A40" s="329" t="s">
        <v>191</v>
      </c>
      <c r="B40" s="330"/>
      <c r="C40" s="330"/>
      <c r="D40" s="330"/>
      <c r="E40" s="330"/>
    </row>
    <row r="41" spans="1:5" ht="14.25" x14ac:dyDescent="0.2">
      <c r="A41" s="159"/>
      <c r="B41" s="126" t="s">
        <v>175</v>
      </c>
      <c r="C41" s="135">
        <v>0</v>
      </c>
      <c r="D41" s="135">
        <v>0</v>
      </c>
      <c r="E41" s="127"/>
    </row>
    <row r="42" spans="1:5" ht="14.25" x14ac:dyDescent="0.2">
      <c r="A42" s="159"/>
      <c r="B42" s="126" t="s">
        <v>175</v>
      </c>
      <c r="C42" s="135">
        <v>0</v>
      </c>
      <c r="D42" s="135">
        <v>0</v>
      </c>
      <c r="E42" s="128"/>
    </row>
    <row r="43" spans="1:5" ht="14.25" x14ac:dyDescent="0.2">
      <c r="A43" s="129"/>
      <c r="B43" s="129"/>
      <c r="C43" s="129"/>
      <c r="D43" s="130"/>
      <c r="E43" s="131"/>
    </row>
    <row r="44" spans="1:5" ht="15" x14ac:dyDescent="0.25">
      <c r="A44" s="329" t="s">
        <v>192</v>
      </c>
      <c r="B44" s="330"/>
      <c r="C44" s="330"/>
      <c r="D44" s="330"/>
      <c r="E44" s="330"/>
    </row>
    <row r="45" spans="1:5" ht="14.25" x14ac:dyDescent="0.2">
      <c r="A45" s="159"/>
      <c r="B45" s="126" t="s">
        <v>287</v>
      </c>
      <c r="C45" s="135">
        <v>-141314.50000000009</v>
      </c>
      <c r="D45" s="135">
        <v>104227</v>
      </c>
      <c r="E45" s="127"/>
    </row>
    <row r="46" spans="1:5" ht="14.25" x14ac:dyDescent="0.2">
      <c r="A46" s="159"/>
      <c r="B46" s="126" t="s">
        <v>288</v>
      </c>
      <c r="C46" s="135">
        <v>616565.96</v>
      </c>
      <c r="D46" s="135">
        <v>868712</v>
      </c>
      <c r="E46" s="127"/>
    </row>
    <row r="47" spans="1:5" ht="14.25" x14ac:dyDescent="0.2">
      <c r="A47" s="159"/>
      <c r="B47" s="126" t="s">
        <v>289</v>
      </c>
      <c r="C47" s="135">
        <v>416472</v>
      </c>
      <c r="D47" s="135">
        <v>420000</v>
      </c>
      <c r="E47" s="128"/>
    </row>
    <row r="48" spans="1:5" ht="14.25" x14ac:dyDescent="0.2">
      <c r="A48" s="159"/>
      <c r="B48" s="126" t="s">
        <v>290</v>
      </c>
      <c r="C48" s="135">
        <v>5692144</v>
      </c>
      <c r="D48" s="135">
        <v>0</v>
      </c>
      <c r="E48" s="128" t="s">
        <v>291</v>
      </c>
    </row>
    <row r="49" spans="1:5" ht="14.25" x14ac:dyDescent="0.2">
      <c r="A49" s="159"/>
      <c r="B49" s="126" t="s">
        <v>292</v>
      </c>
      <c r="C49" s="135">
        <v>150437.87999999998</v>
      </c>
      <c r="D49" s="135">
        <v>32484</v>
      </c>
      <c r="E49" s="128"/>
    </row>
    <row r="50" spans="1:5" ht="14.25" x14ac:dyDescent="0.2">
      <c r="A50" s="159"/>
      <c r="B50" s="126" t="s">
        <v>293</v>
      </c>
      <c r="C50" s="135">
        <v>226120</v>
      </c>
      <c r="D50" s="135">
        <v>500000</v>
      </c>
      <c r="E50" s="127"/>
    </row>
    <row r="51" spans="1:5" ht="14.25" x14ac:dyDescent="0.2">
      <c r="A51" s="159"/>
      <c r="B51" s="126"/>
      <c r="C51" s="135"/>
      <c r="D51" s="135"/>
      <c r="E51" s="128"/>
    </row>
    <row r="52" spans="1:5" x14ac:dyDescent="0.2">
      <c r="A52" s="132"/>
      <c r="B52" s="132"/>
      <c r="C52" s="132"/>
      <c r="D52" s="132"/>
      <c r="E52" s="133"/>
    </row>
    <row r="53" spans="1:5" ht="15" x14ac:dyDescent="0.25">
      <c r="A53" s="329" t="s">
        <v>193</v>
      </c>
      <c r="B53" s="329"/>
      <c r="C53" s="141">
        <f>SUM(C10:C52)</f>
        <v>79262618.853999987</v>
      </c>
      <c r="D53" s="141">
        <f>SUM(D10:D52)</f>
        <v>77630019.166666657</v>
      </c>
      <c r="E53" s="142"/>
    </row>
    <row r="54" spans="1:5" x14ac:dyDescent="0.2">
      <c r="A54" s="134"/>
      <c r="B54" s="134"/>
      <c r="C54" s="134"/>
      <c r="D54" s="134"/>
      <c r="E54" s="134"/>
    </row>
    <row r="55" spans="1:5" x14ac:dyDescent="0.2">
      <c r="A55" s="331"/>
      <c r="B55" s="330"/>
      <c r="C55" s="330"/>
      <c r="D55" s="330"/>
      <c r="E55" s="330"/>
    </row>
  </sheetData>
  <sheetProtection algorithmName="SHA-512" hashValue="popjW/ghZsmAzYTN5rOjzg/U19EPnDuj8zSB+NMZLbn6/MfQvvytMHOCX3lrK86R/tho2ljk0LiNQlaDkPO2IA==" saltValue="8T11oo+3fQhjLD5yifQ5PA==" spinCount="100000" sheet="1" objects="1" scenarios="1"/>
  <mergeCells count="11">
    <mergeCell ref="A55:E55"/>
    <mergeCell ref="A44:E44"/>
    <mergeCell ref="A53:B53"/>
    <mergeCell ref="A28:E28"/>
    <mergeCell ref="A40:E40"/>
    <mergeCell ref="A36:E36"/>
    <mergeCell ref="A2:E2"/>
    <mergeCell ref="A4:E4"/>
    <mergeCell ref="A6:B6"/>
    <mergeCell ref="A10:E10"/>
    <mergeCell ref="A32:E32"/>
  </mergeCells>
  <pageMargins left="0.7" right="0.7" top="0.75" bottom="0.75" header="0.3" footer="0.3"/>
  <pageSetup scale="68" firstPageNumber="8" orientation="portrait" r:id="rId1"/>
  <headerFooter>
    <oddFooter>&amp;LCity of Santa Monica
Exhibit C3 -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Robyn Kupferman</DisplayName>
        <AccountId>199</AccountId>
        <AccountType/>
      </UserInfo>
      <UserInfo>
        <DisplayName>Brian Hardgrave</DisplayName>
        <AccountId>63</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46FD07AA-E91E-40A8-90AB-0A3DA4FDB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PROGRAM BUDGET &amp; FISCAL REPORT</vt:lpstr>
      <vt:lpstr>PARTICIPANTS &amp; DEMOGRAPHICS</vt:lpstr>
      <vt:lpstr>CASH MATCH</vt:lpstr>
      <vt:lpstr>AGENCY FUNDING SOURCES</vt:lpstr>
      <vt:lpstr>'AGENCY FUNDING SOURCES'!Print_Area</vt:lpstr>
      <vt:lpstr>'PARTICIPANTS &amp; DEMOGRAPHICS'!Print_Area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2023-11-28T00:17:27Z</cp:lastPrinted>
  <dcterms:created xsi:type="dcterms:W3CDTF">1999-10-15T17:33:56Z</dcterms:created>
  <dcterms:modified xsi:type="dcterms:W3CDTF">2023-11-28T00:17:31Z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b59efe5c2bdb4be280cd2180b6581de2</vt:lpwstr>
  </property>
  <property fmtid="{D5CDD505-2E9C-101B-9397-08002B2CF9AE}" pid="11" name="MediaServiceImageTags">
    <vt:lpwstr/>
  </property>
</Properties>
</file>