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93" documentId="11_59324C50CA10EB7E582BA7FDF02F30A147D005D4" xr6:coauthVersionLast="46" xr6:coauthVersionMax="47" xr10:uidLastSave="{5BB2C4CD-6F74-412E-BF9F-9BBEACB157BA}"/>
  <workbookProtection workbookAlgorithmName="SHA-512" workbookHashValue="2elVcCFNM9h1lidIHR8kqCX/1E7rL2CEVXn4JzrML+5UPZqLs81aURL2Kwdnucbz2IKSnPr1r6B2IQ06mMQVTw==" workbookSaltValue="ExFOj29wv5RUtJJQsCe0a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Worksheet" sheetId="32" state="hidden" r:id="rId3"/>
    <sheet name="CM Worksheet" sheetId="33" state="hidden" r:id="rId4"/>
    <sheet name="PARTICIPANTS &amp; DEMOGRAPHICS" sheetId="26" r:id="rId5"/>
    <sheet name="CASH MATCH" sheetId="14" r:id="rId6"/>
    <sheet name="AGENCY FUNDING SOURCES" sheetId="30" r:id="rId7"/>
    <sheet name="ESRI_MAPINFO_SHEET" sheetId="31" state="veryHidden" r:id="rId8"/>
  </sheets>
  <definedNames>
    <definedName name="_xlnm.Print_Area" localSheetId="6">'AGENCY FUNDING SOURCES'!$A$1:$E$41</definedName>
    <definedName name="_xlnm.Print_Area" localSheetId="1">'PROGRAM BUDGET &amp; FISCAL REPORT'!$A$1:$N$138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19" l="1"/>
  <c r="L38" i="19"/>
  <c r="K38" i="19"/>
  <c r="J38" i="19"/>
  <c r="I38" i="19"/>
  <c r="H38" i="19"/>
  <c r="G38" i="19"/>
  <c r="D38" i="19"/>
  <c r="N28" i="19"/>
  <c r="J28" i="19"/>
  <c r="H28" i="19"/>
  <c r="G28" i="19"/>
  <c r="N35" i="19"/>
  <c r="J35" i="19"/>
  <c r="H35" i="19"/>
  <c r="G35" i="19"/>
  <c r="D35" i="19"/>
  <c r="D28" i="19"/>
  <c r="H43" i="19"/>
  <c r="H29" i="19" l="1"/>
  <c r="H66" i="19"/>
  <c r="H69" i="19"/>
  <c r="H79" i="19"/>
  <c r="K122" i="19" l="1"/>
  <c r="K121" i="19"/>
  <c r="T55" i="33"/>
  <c r="Z104" i="33"/>
  <c r="Z68" i="33"/>
  <c r="Z81" i="33" s="1"/>
  <c r="X104" i="33"/>
  <c r="X66" i="33"/>
  <c r="X68" i="33"/>
  <c r="X81" i="33" s="1"/>
  <c r="AH58" i="33"/>
  <c r="AF58" i="33"/>
  <c r="AD58" i="33"/>
  <c r="AB58" i="33"/>
  <c r="AA58" i="33"/>
  <c r="Z58" i="33"/>
  <c r="Y58" i="33"/>
  <c r="X58" i="33"/>
  <c r="W58" i="33"/>
  <c r="U58" i="33"/>
  <c r="T58" i="33"/>
  <c r="V65" i="33"/>
  <c r="V75" i="33"/>
  <c r="AH106" i="33"/>
  <c r="AF106" i="33"/>
  <c r="AD106" i="33"/>
  <c r="AB106" i="33"/>
  <c r="Z106" i="33"/>
  <c r="X106" i="33"/>
  <c r="W106" i="33"/>
  <c r="V106" i="33"/>
  <c r="U106" i="33"/>
  <c r="U108" i="33" s="1"/>
  <c r="T106" i="33"/>
  <c r="AH97" i="33"/>
  <c r="AF97" i="33"/>
  <c r="AD97" i="33"/>
  <c r="AB97" i="33"/>
  <c r="AB108" i="33" s="1"/>
  <c r="Z97" i="33"/>
  <c r="X97" i="33"/>
  <c r="W97" i="33"/>
  <c r="V97" i="33"/>
  <c r="U97" i="33"/>
  <c r="T97" i="33"/>
  <c r="AH89" i="33"/>
  <c r="AF89" i="33"/>
  <c r="AD89" i="33"/>
  <c r="AB89" i="33"/>
  <c r="Z89" i="33"/>
  <c r="X89" i="33"/>
  <c r="W89" i="33"/>
  <c r="V89" i="33"/>
  <c r="U89" i="33"/>
  <c r="T89" i="33"/>
  <c r="AH81" i="33"/>
  <c r="AF81" i="33"/>
  <c r="AD81" i="33"/>
  <c r="AB81" i="33"/>
  <c r="AA81" i="33"/>
  <c r="AA108" i="33" s="1"/>
  <c r="Y81" i="33"/>
  <c r="W81" i="33"/>
  <c r="U81" i="33"/>
  <c r="T81" i="33"/>
  <c r="V55" i="33"/>
  <c r="V58" i="33" s="1"/>
  <c r="V68" i="33"/>
  <c r="V81" i="33" s="1"/>
  <c r="V63" i="33"/>
  <c r="AH48" i="33"/>
  <c r="AF48" i="33"/>
  <c r="AD48" i="33"/>
  <c r="AD108" i="33" s="1"/>
  <c r="AB48" i="33"/>
  <c r="AA48" i="33"/>
  <c r="Z48" i="33"/>
  <c r="Y48" i="33"/>
  <c r="X48" i="33"/>
  <c r="W48" i="33"/>
  <c r="V48" i="33"/>
  <c r="U48" i="33"/>
  <c r="T48" i="33"/>
  <c r="AH28" i="33"/>
  <c r="N28" i="33" s="1"/>
  <c r="N29" i="19" s="1"/>
  <c r="AF36" i="33"/>
  <c r="Z33" i="33"/>
  <c r="Z32" i="33"/>
  <c r="AH32" i="33" s="1"/>
  <c r="N32" i="33" s="1"/>
  <c r="N33" i="19" s="1"/>
  <c r="Z31" i="33"/>
  <c r="Z30" i="33"/>
  <c r="Z29" i="33"/>
  <c r="X34" i="33"/>
  <c r="AH34" i="33" s="1"/>
  <c r="N34" i="33" s="1"/>
  <c r="X33" i="33"/>
  <c r="AH33" i="33" s="1"/>
  <c r="N33" i="33" s="1"/>
  <c r="N34" i="19" s="1"/>
  <c r="X32" i="33"/>
  <c r="X31" i="33"/>
  <c r="AH31" i="33" s="1"/>
  <c r="N31" i="33" s="1"/>
  <c r="N32" i="19" s="1"/>
  <c r="X30" i="33"/>
  <c r="AH30" i="33" s="1"/>
  <c r="N30" i="33" s="1"/>
  <c r="N31" i="19" s="1"/>
  <c r="X28" i="33"/>
  <c r="X27" i="33"/>
  <c r="AH27" i="33" s="1"/>
  <c r="N27" i="33" s="1"/>
  <c r="N27" i="19" s="1"/>
  <c r="X29" i="33"/>
  <c r="AH29" i="33" s="1"/>
  <c r="N29" i="33" s="1"/>
  <c r="AB36" i="33"/>
  <c r="AD36" i="33"/>
  <c r="V36" i="33"/>
  <c r="T36" i="33"/>
  <c r="L132" i="33"/>
  <c r="L131" i="33"/>
  <c r="L129" i="33"/>
  <c r="J128" i="33"/>
  <c r="L126" i="33"/>
  <c r="L125" i="33"/>
  <c r="L123" i="33"/>
  <c r="L122" i="33"/>
  <c r="L120" i="33"/>
  <c r="L119" i="33"/>
  <c r="J117" i="33"/>
  <c r="K117" i="33" s="1"/>
  <c r="J116" i="33"/>
  <c r="K116" i="33" s="1"/>
  <c r="I116" i="33"/>
  <c r="I133" i="33" s="1"/>
  <c r="J106" i="33"/>
  <c r="J12" i="33" s="1"/>
  <c r="H106" i="33"/>
  <c r="N105" i="33"/>
  <c r="L105" i="33"/>
  <c r="M105" i="33" s="1"/>
  <c r="I105" i="33"/>
  <c r="F105" i="33"/>
  <c r="K104" i="33"/>
  <c r="K106" i="33" s="1"/>
  <c r="K97" i="33"/>
  <c r="J97" i="33"/>
  <c r="H97" i="33"/>
  <c r="G97" i="33"/>
  <c r="M96" i="33"/>
  <c r="L96" i="33"/>
  <c r="I96" i="33"/>
  <c r="L95" i="33"/>
  <c r="M95" i="33" s="1"/>
  <c r="I95" i="33"/>
  <c r="L94" i="33"/>
  <c r="M94" i="33" s="1"/>
  <c r="I94" i="33"/>
  <c r="I97" i="33" s="1"/>
  <c r="I11" i="33" s="1"/>
  <c r="K89" i="33"/>
  <c r="J89" i="33"/>
  <c r="H89" i="33"/>
  <c r="G89" i="33"/>
  <c r="N88" i="33"/>
  <c r="L88" i="33"/>
  <c r="M88" i="33" s="1"/>
  <c r="I88" i="33"/>
  <c r="L87" i="33"/>
  <c r="M87" i="33" s="1"/>
  <c r="I87" i="33"/>
  <c r="L86" i="33"/>
  <c r="I86" i="33"/>
  <c r="I89" i="33" s="1"/>
  <c r="I10" i="33" s="1"/>
  <c r="H81" i="33"/>
  <c r="M80" i="33"/>
  <c r="L80" i="33"/>
  <c r="I80" i="33"/>
  <c r="N79" i="33"/>
  <c r="N81" i="19" s="1"/>
  <c r="M79" i="33"/>
  <c r="L79" i="33"/>
  <c r="I79" i="33"/>
  <c r="K78" i="33"/>
  <c r="J78" i="33"/>
  <c r="L78" i="33" s="1"/>
  <c r="M78" i="33" s="1"/>
  <c r="I78" i="33"/>
  <c r="K77" i="33"/>
  <c r="L77" i="33" s="1"/>
  <c r="M77" i="33" s="1"/>
  <c r="I77" i="33"/>
  <c r="K76" i="33"/>
  <c r="L76" i="33" s="1"/>
  <c r="M76" i="33" s="1"/>
  <c r="I76" i="33"/>
  <c r="J75" i="33"/>
  <c r="I75" i="33"/>
  <c r="K74" i="33"/>
  <c r="L74" i="33" s="1"/>
  <c r="M74" i="33" s="1"/>
  <c r="I74" i="33"/>
  <c r="J73" i="33"/>
  <c r="I73" i="33"/>
  <c r="J72" i="33"/>
  <c r="I72" i="33"/>
  <c r="L71" i="33"/>
  <c r="M71" i="33" s="1"/>
  <c r="K71" i="33"/>
  <c r="I71" i="33"/>
  <c r="G71" i="33"/>
  <c r="K70" i="33"/>
  <c r="L70" i="33" s="1"/>
  <c r="M70" i="33" s="1"/>
  <c r="I70" i="33"/>
  <c r="K69" i="33"/>
  <c r="L69" i="33" s="1"/>
  <c r="M69" i="33" s="1"/>
  <c r="I69" i="33"/>
  <c r="K68" i="33"/>
  <c r="L68" i="33" s="1"/>
  <c r="M68" i="33" s="1"/>
  <c r="G68" i="33"/>
  <c r="I68" i="33" s="1"/>
  <c r="K67" i="33"/>
  <c r="L67" i="33" s="1"/>
  <c r="M67" i="33" s="1"/>
  <c r="G67" i="33"/>
  <c r="I67" i="33" s="1"/>
  <c r="J66" i="33"/>
  <c r="G66" i="33"/>
  <c r="I66" i="33" s="1"/>
  <c r="J65" i="33"/>
  <c r="G65" i="33"/>
  <c r="I65" i="33" s="1"/>
  <c r="J64" i="33"/>
  <c r="G64" i="33"/>
  <c r="I64" i="33" s="1"/>
  <c r="K63" i="33"/>
  <c r="J63" i="33"/>
  <c r="I63" i="33"/>
  <c r="G63" i="33"/>
  <c r="H58" i="33"/>
  <c r="H8" i="33" s="1"/>
  <c r="L57" i="33"/>
  <c r="M57" i="33" s="1"/>
  <c r="I57" i="33"/>
  <c r="N56" i="33"/>
  <c r="N58" i="19" s="1"/>
  <c r="L56" i="33"/>
  <c r="M56" i="33" s="1"/>
  <c r="I56" i="33"/>
  <c r="J55" i="33"/>
  <c r="I55" i="33"/>
  <c r="J54" i="33"/>
  <c r="G54" i="33"/>
  <c r="I54" i="33" s="1"/>
  <c r="L53" i="33"/>
  <c r="M53" i="33" s="1"/>
  <c r="K53" i="33"/>
  <c r="I53" i="33"/>
  <c r="G53" i="33"/>
  <c r="L47" i="33"/>
  <c r="M47" i="33" s="1"/>
  <c r="I47" i="33"/>
  <c r="N46" i="33"/>
  <c r="L46" i="33"/>
  <c r="M46" i="33" s="1"/>
  <c r="I46" i="33"/>
  <c r="K45" i="33"/>
  <c r="J45" i="33"/>
  <c r="L45" i="33" s="1"/>
  <c r="G45" i="33"/>
  <c r="K44" i="33"/>
  <c r="J44" i="33"/>
  <c r="K43" i="33"/>
  <c r="J43" i="33"/>
  <c r="J42" i="33"/>
  <c r="K42" i="33" s="1"/>
  <c r="L42" i="33" s="1"/>
  <c r="G42" i="33"/>
  <c r="K41" i="33"/>
  <c r="J41" i="33"/>
  <c r="H41" i="33"/>
  <c r="H36" i="33"/>
  <c r="H43" i="33" s="1"/>
  <c r="G36" i="33"/>
  <c r="G104" i="33" s="1"/>
  <c r="L35" i="33"/>
  <c r="M35" i="33" s="1"/>
  <c r="I35" i="33"/>
  <c r="L34" i="33"/>
  <c r="M34" i="33" s="1"/>
  <c r="I34" i="33"/>
  <c r="K33" i="33"/>
  <c r="L33" i="33" s="1"/>
  <c r="M33" i="33" s="1"/>
  <c r="I33" i="33"/>
  <c r="K32" i="33"/>
  <c r="L32" i="33" s="1"/>
  <c r="M32" i="33" s="1"/>
  <c r="I32" i="33"/>
  <c r="L31" i="33"/>
  <c r="M31" i="33" s="1"/>
  <c r="K31" i="33"/>
  <c r="I31" i="33"/>
  <c r="K30" i="33"/>
  <c r="L30" i="33" s="1"/>
  <c r="M30" i="33" s="1"/>
  <c r="I30" i="33"/>
  <c r="K29" i="33"/>
  <c r="L29" i="33" s="1"/>
  <c r="M29" i="33" s="1"/>
  <c r="I29" i="33"/>
  <c r="K28" i="33"/>
  <c r="L28" i="33" s="1"/>
  <c r="M28" i="33" s="1"/>
  <c r="I28" i="33"/>
  <c r="J27" i="33"/>
  <c r="J36" i="33" s="1"/>
  <c r="J6" i="33" s="1"/>
  <c r="I27" i="33"/>
  <c r="D13" i="33"/>
  <c r="H12" i="33"/>
  <c r="D12" i="33"/>
  <c r="K11" i="33"/>
  <c r="J11" i="33"/>
  <c r="H11" i="33"/>
  <c r="G11" i="33"/>
  <c r="D11" i="33"/>
  <c r="K10" i="33"/>
  <c r="J10" i="33"/>
  <c r="G10" i="33"/>
  <c r="D10" i="33"/>
  <c r="H9" i="33"/>
  <c r="D9" i="33"/>
  <c r="D8" i="33"/>
  <c r="D7" i="33"/>
  <c r="G6" i="33"/>
  <c r="D6" i="33"/>
  <c r="N36" i="33" l="1"/>
  <c r="N6" i="33" s="1"/>
  <c r="N30" i="19"/>
  <c r="K48" i="33"/>
  <c r="K7" i="33" s="1"/>
  <c r="H44" i="33"/>
  <c r="J48" i="33"/>
  <c r="J7" i="33" s="1"/>
  <c r="L75" i="33"/>
  <c r="M75" i="33" s="1"/>
  <c r="T108" i="33"/>
  <c r="K128" i="33"/>
  <c r="K130" i="19" s="1"/>
  <c r="L43" i="33"/>
  <c r="L44" i="33"/>
  <c r="M44" i="33" s="1"/>
  <c r="G58" i="33"/>
  <c r="G8" i="33" s="1"/>
  <c r="K54" i="33"/>
  <c r="K55" i="33"/>
  <c r="L55" i="33" s="1"/>
  <c r="M55" i="33" s="1"/>
  <c r="G81" i="33"/>
  <c r="G9" i="33" s="1"/>
  <c r="K65" i="33"/>
  <c r="L65" i="33" s="1"/>
  <c r="M65" i="33" s="1"/>
  <c r="K75" i="33"/>
  <c r="L117" i="33"/>
  <c r="Y108" i="33"/>
  <c r="I58" i="33"/>
  <c r="I8" i="33" s="1"/>
  <c r="H6" i="33"/>
  <c r="I36" i="33"/>
  <c r="I6" i="33" s="1"/>
  <c r="L41" i="33"/>
  <c r="L48" i="33" s="1"/>
  <c r="H42" i="33"/>
  <c r="I42" i="33" s="1"/>
  <c r="J58" i="33"/>
  <c r="J8" i="33" s="1"/>
  <c r="L63" i="33"/>
  <c r="L89" i="33"/>
  <c r="L10" i="33" s="1"/>
  <c r="M10" i="33" s="1"/>
  <c r="L116" i="33"/>
  <c r="W108" i="33"/>
  <c r="AF108" i="33"/>
  <c r="Z108" i="33"/>
  <c r="V108" i="33"/>
  <c r="AH36" i="33"/>
  <c r="AH108" i="33" s="1"/>
  <c r="Z36" i="33"/>
  <c r="X36" i="33"/>
  <c r="X108" i="33" s="1"/>
  <c r="L66" i="33"/>
  <c r="M66" i="33" s="1"/>
  <c r="K12" i="33"/>
  <c r="G106" i="33"/>
  <c r="I104" i="33"/>
  <c r="I106" i="33" s="1"/>
  <c r="M63" i="33"/>
  <c r="M43" i="33"/>
  <c r="M41" i="33"/>
  <c r="M89" i="33"/>
  <c r="I81" i="33"/>
  <c r="I9" i="33" s="1"/>
  <c r="L64" i="33"/>
  <c r="M64" i="33" s="1"/>
  <c r="L97" i="33"/>
  <c r="J133" i="33"/>
  <c r="H10" i="33"/>
  <c r="H45" i="33"/>
  <c r="M45" i="33" s="1"/>
  <c r="K64" i="33"/>
  <c r="K72" i="33"/>
  <c r="L72" i="33" s="1"/>
  <c r="M72" i="33" s="1"/>
  <c r="K73" i="33"/>
  <c r="L73" i="33" s="1"/>
  <c r="M73" i="33" s="1"/>
  <c r="M86" i="33"/>
  <c r="L104" i="33"/>
  <c r="J81" i="33"/>
  <c r="J9" i="33" s="1"/>
  <c r="G43" i="33"/>
  <c r="I43" i="33" s="1"/>
  <c r="J108" i="33"/>
  <c r="J13" i="33" s="1"/>
  <c r="K27" i="33"/>
  <c r="K36" i="33" s="1"/>
  <c r="K6" i="33" s="1"/>
  <c r="K66" i="33"/>
  <c r="G41" i="33"/>
  <c r="G44" i="33"/>
  <c r="I44" i="33" s="1"/>
  <c r="M42" i="33" l="1"/>
  <c r="K133" i="33"/>
  <c r="K58" i="33"/>
  <c r="K8" i="33" s="1"/>
  <c r="L128" i="33"/>
  <c r="L133" i="33" s="1"/>
  <c r="L54" i="33"/>
  <c r="L11" i="33"/>
  <c r="M11" i="33" s="1"/>
  <c r="M97" i="33"/>
  <c r="K81" i="33"/>
  <c r="L81" i="33"/>
  <c r="I41" i="33"/>
  <c r="G48" i="33"/>
  <c r="G7" i="33" s="1"/>
  <c r="L106" i="33"/>
  <c r="M104" i="33"/>
  <c r="L7" i="33"/>
  <c r="I45" i="33"/>
  <c r="I12" i="33"/>
  <c r="L27" i="33"/>
  <c r="H48" i="33"/>
  <c r="M48" i="33" s="1"/>
  <c r="G12" i="33"/>
  <c r="K79" i="19"/>
  <c r="K34" i="19"/>
  <c r="K33" i="19"/>
  <c r="K32" i="19"/>
  <c r="K31" i="19"/>
  <c r="K29" i="19"/>
  <c r="K30" i="19"/>
  <c r="K35" i="19" l="1"/>
  <c r="M54" i="33"/>
  <c r="L58" i="33"/>
  <c r="K9" i="33"/>
  <c r="K108" i="33"/>
  <c r="K13" i="33" s="1"/>
  <c r="M81" i="33"/>
  <c r="L9" i="33"/>
  <c r="M9" i="33" s="1"/>
  <c r="H7" i="33"/>
  <c r="M7" i="33" s="1"/>
  <c r="H108" i="33"/>
  <c r="L36" i="33"/>
  <c r="L108" i="33" s="1"/>
  <c r="M27" i="33"/>
  <c r="M106" i="33"/>
  <c r="L12" i="33"/>
  <c r="M12" i="33" s="1"/>
  <c r="G108" i="33"/>
  <c r="G13" i="33" s="1"/>
  <c r="I48" i="33"/>
  <c r="L8" i="33" l="1"/>
  <c r="M8" i="33" s="1"/>
  <c r="M58" i="33"/>
  <c r="I7" i="33"/>
  <c r="I108" i="33"/>
  <c r="I13" i="33" s="1"/>
  <c r="M36" i="33"/>
  <c r="L6" i="33"/>
  <c r="M6" i="33" s="1"/>
  <c r="H13" i="33"/>
  <c r="F104" i="33"/>
  <c r="L13" i="33"/>
  <c r="M108" i="33"/>
  <c r="M13" i="33" l="1"/>
  <c r="B14" i="33"/>
  <c r="B15" i="33" s="1"/>
  <c r="K106" i="19" l="1"/>
  <c r="K78" i="19"/>
  <c r="K76" i="19"/>
  <c r="K73" i="19"/>
  <c r="K72" i="19"/>
  <c r="K71" i="19"/>
  <c r="K70" i="19"/>
  <c r="K69" i="19"/>
  <c r="K55" i="19"/>
  <c r="J74" i="19" l="1"/>
  <c r="K74" i="19" s="1"/>
  <c r="J130" i="19"/>
  <c r="J119" i="19"/>
  <c r="J118" i="19"/>
  <c r="J77" i="19"/>
  <c r="K77" i="19" s="1"/>
  <c r="J67" i="19"/>
  <c r="K67" i="19" s="1"/>
  <c r="J66" i="19"/>
  <c r="K66" i="19" s="1"/>
  <c r="J80" i="19"/>
  <c r="K80" i="19" s="1"/>
  <c r="J75" i="19"/>
  <c r="K75" i="19" s="1"/>
  <c r="J68" i="19"/>
  <c r="K68" i="19" s="1"/>
  <c r="J65" i="19"/>
  <c r="K65" i="19" s="1"/>
  <c r="J57" i="19"/>
  <c r="K57" i="19" s="1"/>
  <c r="J56" i="19"/>
  <c r="K56" i="19" s="1"/>
  <c r="J47" i="19"/>
  <c r="K47" i="19" s="1"/>
  <c r="J46" i="19"/>
  <c r="K46" i="19" s="1"/>
  <c r="J45" i="19"/>
  <c r="K45" i="19" s="1"/>
  <c r="J44" i="19"/>
  <c r="K44" i="19" s="1"/>
  <c r="J43" i="19"/>
  <c r="K43" i="19" s="1"/>
  <c r="J27" i="19"/>
  <c r="K27" i="19" s="1"/>
  <c r="K28" i="19" s="1"/>
  <c r="J78" i="32" l="1"/>
  <c r="J104" i="32"/>
  <c r="J65" i="32"/>
  <c r="N107" i="19"/>
  <c r="N90" i="19"/>
  <c r="N48" i="19"/>
  <c r="N36" i="19"/>
  <c r="N94" i="32"/>
  <c r="AB96" i="32"/>
  <c r="N96" i="32" s="1"/>
  <c r="AB95" i="32"/>
  <c r="N95" i="32" s="1"/>
  <c r="AB94" i="32"/>
  <c r="AB88" i="32"/>
  <c r="AB87" i="32"/>
  <c r="N87" i="32" s="1"/>
  <c r="AB86" i="32"/>
  <c r="N86" i="32" s="1"/>
  <c r="AB56" i="32"/>
  <c r="AA74" i="32"/>
  <c r="X104" i="32"/>
  <c r="X78" i="32"/>
  <c r="X75" i="32"/>
  <c r="X74" i="32"/>
  <c r="X73" i="32"/>
  <c r="X72" i="32"/>
  <c r="X71" i="32"/>
  <c r="X67" i="32"/>
  <c r="X66" i="32"/>
  <c r="X65" i="32"/>
  <c r="X64" i="32"/>
  <c r="X63" i="32"/>
  <c r="X69" i="32"/>
  <c r="X68" i="32"/>
  <c r="X55" i="32"/>
  <c r="X54" i="32"/>
  <c r="X53" i="32"/>
  <c r="W68" i="32"/>
  <c r="V66" i="32"/>
  <c r="V104" i="32"/>
  <c r="V75" i="32"/>
  <c r="V78" i="32"/>
  <c r="V74" i="32"/>
  <c r="V73" i="32"/>
  <c r="V72" i="32"/>
  <c r="V71" i="32"/>
  <c r="V70" i="32"/>
  <c r="V69" i="32"/>
  <c r="V55" i="32"/>
  <c r="V68" i="32"/>
  <c r="V67" i="32"/>
  <c r="V65" i="32"/>
  <c r="V64" i="32"/>
  <c r="V63" i="32"/>
  <c r="U108" i="32"/>
  <c r="T108" i="32"/>
  <c r="N95" i="33" l="1"/>
  <c r="N97" i="19"/>
  <c r="N88" i="19"/>
  <c r="N86" i="33"/>
  <c r="N89" i="19"/>
  <c r="N87" i="33"/>
  <c r="N98" i="19"/>
  <c r="N96" i="33"/>
  <c r="N96" i="19"/>
  <c r="N94" i="33"/>
  <c r="X108" i="32"/>
  <c r="V108" i="32"/>
  <c r="AA27" i="32"/>
  <c r="AA33" i="32"/>
  <c r="AA32" i="32"/>
  <c r="AA31" i="32"/>
  <c r="AA108" i="32" s="1"/>
  <c r="AA30" i="32"/>
  <c r="AA29" i="32"/>
  <c r="AA28" i="32"/>
  <c r="Z33" i="32"/>
  <c r="Z31" i="32"/>
  <c r="Z32" i="32"/>
  <c r="Z28" i="32"/>
  <c r="W33" i="32"/>
  <c r="W108" i="32" s="1"/>
  <c r="V33" i="32"/>
  <c r="K133" i="32"/>
  <c r="J133" i="32"/>
  <c r="L132" i="32"/>
  <c r="L131" i="32"/>
  <c r="L129" i="32"/>
  <c r="L128" i="32"/>
  <c r="L126" i="32"/>
  <c r="L125" i="32"/>
  <c r="L123" i="32"/>
  <c r="L122" i="32"/>
  <c r="L120" i="32"/>
  <c r="L133" i="32" s="1"/>
  <c r="L119" i="32"/>
  <c r="L117" i="32"/>
  <c r="L116" i="32"/>
  <c r="I116" i="32"/>
  <c r="I133" i="32" s="1"/>
  <c r="K106" i="32"/>
  <c r="J106" i="32"/>
  <c r="L105" i="32"/>
  <c r="L106" i="32" s="1"/>
  <c r="I105" i="32"/>
  <c r="F105" i="32"/>
  <c r="L104" i="32"/>
  <c r="N97" i="32"/>
  <c r="K97" i="32"/>
  <c r="J97" i="32"/>
  <c r="J11" i="32" s="1"/>
  <c r="H97" i="32"/>
  <c r="H11" i="32" s="1"/>
  <c r="G97" i="32"/>
  <c r="G11" i="32" s="1"/>
  <c r="L96" i="32"/>
  <c r="M96" i="32" s="1"/>
  <c r="I96" i="32"/>
  <c r="L95" i="32"/>
  <c r="M95" i="32" s="1"/>
  <c r="I95" i="32"/>
  <c r="L94" i="32"/>
  <c r="I94" i="32"/>
  <c r="N89" i="32"/>
  <c r="K89" i="32"/>
  <c r="K10" i="32" s="1"/>
  <c r="J89" i="32"/>
  <c r="J10" i="32" s="1"/>
  <c r="H89" i="32"/>
  <c r="H10" i="32" s="1"/>
  <c r="G89" i="32"/>
  <c r="G10" i="32" s="1"/>
  <c r="L88" i="32"/>
  <c r="M88" i="32" s="1"/>
  <c r="I88" i="32"/>
  <c r="L87" i="32"/>
  <c r="M87" i="32" s="1"/>
  <c r="I87" i="32"/>
  <c r="L86" i="32"/>
  <c r="I86" i="32"/>
  <c r="I89" i="32" s="1"/>
  <c r="I10" i="32" s="1"/>
  <c r="K81" i="32"/>
  <c r="J81" i="32"/>
  <c r="J9" i="32" s="1"/>
  <c r="L80" i="32"/>
  <c r="I80" i="32"/>
  <c r="L79" i="32"/>
  <c r="I79" i="32"/>
  <c r="L78" i="32"/>
  <c r="I78" i="32"/>
  <c r="L77" i="32"/>
  <c r="I77" i="32"/>
  <c r="L76" i="32"/>
  <c r="I76" i="32"/>
  <c r="L75" i="32"/>
  <c r="I75" i="32"/>
  <c r="L74" i="32"/>
  <c r="I74" i="32"/>
  <c r="L73" i="32"/>
  <c r="I73" i="32"/>
  <c r="L72" i="32"/>
  <c r="I72" i="32"/>
  <c r="L71" i="32"/>
  <c r="H71" i="32"/>
  <c r="H81" i="32" s="1"/>
  <c r="H9" i="32" s="1"/>
  <c r="G71" i="32"/>
  <c r="I71" i="32" s="1"/>
  <c r="L70" i="32"/>
  <c r="I70" i="32"/>
  <c r="L69" i="32"/>
  <c r="Y69" i="32" s="1"/>
  <c r="AB69" i="32" s="1"/>
  <c r="N69" i="32" s="1"/>
  <c r="N69" i="33" s="1"/>
  <c r="N71" i="19" s="1"/>
  <c r="I69" i="32"/>
  <c r="L68" i="32"/>
  <c r="G68" i="32"/>
  <c r="I68" i="32" s="1"/>
  <c r="L67" i="32"/>
  <c r="G67" i="32"/>
  <c r="I67" i="32" s="1"/>
  <c r="L66" i="32"/>
  <c r="G66" i="32"/>
  <c r="I66" i="32" s="1"/>
  <c r="L65" i="32"/>
  <c r="G65" i="32"/>
  <c r="L64" i="32"/>
  <c r="G64" i="32"/>
  <c r="I64" i="32" s="1"/>
  <c r="L63" i="32"/>
  <c r="G63" i="32"/>
  <c r="I63" i="32" s="1"/>
  <c r="K58" i="32"/>
  <c r="K8" i="32" s="1"/>
  <c r="J58" i="32"/>
  <c r="J8" i="32" s="1"/>
  <c r="H58" i="32"/>
  <c r="H8" i="32" s="1"/>
  <c r="L57" i="32"/>
  <c r="M57" i="32" s="1"/>
  <c r="I57" i="32"/>
  <c r="L56" i="32"/>
  <c r="M56" i="32" s="1"/>
  <c r="I56" i="32"/>
  <c r="L55" i="32"/>
  <c r="I55" i="32"/>
  <c r="L54" i="32"/>
  <c r="G54" i="32"/>
  <c r="L53" i="32"/>
  <c r="Y53" i="32" s="1"/>
  <c r="AB53" i="32" s="1"/>
  <c r="N53" i="32" s="1"/>
  <c r="N53" i="33" s="1"/>
  <c r="N55" i="19" s="1"/>
  <c r="G53" i="32"/>
  <c r="I53" i="32" s="1"/>
  <c r="K48" i="32"/>
  <c r="J48" i="32"/>
  <c r="J7" i="32" s="1"/>
  <c r="L47" i="32"/>
  <c r="M47" i="32" s="1"/>
  <c r="I47" i="32"/>
  <c r="L46" i="32"/>
  <c r="M46" i="32" s="1"/>
  <c r="I46" i="32"/>
  <c r="L45" i="32"/>
  <c r="Y45" i="32" s="1"/>
  <c r="AB45" i="32" s="1"/>
  <c r="N45" i="32" s="1"/>
  <c r="N45" i="33" s="1"/>
  <c r="N47" i="19" s="1"/>
  <c r="G45" i="32"/>
  <c r="L44" i="32"/>
  <c r="Y44" i="32" s="1"/>
  <c r="AB44" i="32" s="1"/>
  <c r="N44" i="32" s="1"/>
  <c r="N44" i="33" s="1"/>
  <c r="N46" i="19" s="1"/>
  <c r="L43" i="32"/>
  <c r="L42" i="32"/>
  <c r="L41" i="32"/>
  <c r="K36" i="32"/>
  <c r="K6" i="32" s="1"/>
  <c r="J36" i="32"/>
  <c r="J6" i="32" s="1"/>
  <c r="H36" i="32"/>
  <c r="H43" i="32" s="1"/>
  <c r="G36" i="32"/>
  <c r="G42" i="32" s="1"/>
  <c r="L35" i="32"/>
  <c r="M35" i="32" s="1"/>
  <c r="I35" i="32"/>
  <c r="M34" i="32"/>
  <c r="L34" i="32"/>
  <c r="I34" i="32"/>
  <c r="L33" i="32"/>
  <c r="I33" i="32"/>
  <c r="L32" i="32"/>
  <c r="Y32" i="32" s="1"/>
  <c r="I32" i="32"/>
  <c r="L31" i="32"/>
  <c r="I31" i="32"/>
  <c r="L30" i="32"/>
  <c r="Y30" i="32" s="1"/>
  <c r="AB30" i="32" s="1"/>
  <c r="N30" i="32" s="1"/>
  <c r="I30" i="32"/>
  <c r="L29" i="32"/>
  <c r="I29" i="32"/>
  <c r="L28" i="32"/>
  <c r="Y28" i="32" s="1"/>
  <c r="I28" i="32"/>
  <c r="L27" i="32"/>
  <c r="I27" i="32"/>
  <c r="I36" i="32" s="1"/>
  <c r="I6" i="32" s="1"/>
  <c r="D13" i="32"/>
  <c r="D12" i="32"/>
  <c r="N11" i="32"/>
  <c r="K11" i="32"/>
  <c r="D11" i="32"/>
  <c r="D10" i="32"/>
  <c r="K9" i="32"/>
  <c r="D9" i="32"/>
  <c r="D8" i="32"/>
  <c r="K7" i="32"/>
  <c r="D7" i="32"/>
  <c r="G6" i="32"/>
  <c r="D6" i="32"/>
  <c r="G81" i="32" l="1"/>
  <c r="G9" i="32" s="1"/>
  <c r="G58" i="32"/>
  <c r="G8" i="32" s="1"/>
  <c r="N97" i="33"/>
  <c r="N11" i="33" s="1"/>
  <c r="N89" i="33"/>
  <c r="N10" i="33" s="1"/>
  <c r="AB28" i="32"/>
  <c r="N28" i="32" s="1"/>
  <c r="AB32" i="32"/>
  <c r="N32" i="32" s="1"/>
  <c r="G41" i="32"/>
  <c r="I41" i="32" s="1"/>
  <c r="I97" i="32"/>
  <c r="I11" i="32" s="1"/>
  <c r="M31" i="32"/>
  <c r="Y31" i="32"/>
  <c r="AB31" i="32" s="1"/>
  <c r="N31" i="32" s="1"/>
  <c r="H42" i="32"/>
  <c r="H6" i="32"/>
  <c r="M28" i="32"/>
  <c r="M33" i="32"/>
  <c r="Y33" i="32"/>
  <c r="M42" i="32"/>
  <c r="Y42" i="32"/>
  <c r="AB42" i="32" s="1"/>
  <c r="N42" i="32" s="1"/>
  <c r="N42" i="33" s="1"/>
  <c r="N44" i="19" s="1"/>
  <c r="M54" i="32"/>
  <c r="Y54" i="32"/>
  <c r="AB54" i="32" s="1"/>
  <c r="N54" i="32" s="1"/>
  <c r="N54" i="33" s="1"/>
  <c r="M63" i="32"/>
  <c r="Y63" i="32"/>
  <c r="AB63" i="32" s="1"/>
  <c r="N63" i="32" s="1"/>
  <c r="N63" i="33" s="1"/>
  <c r="M65" i="32"/>
  <c r="Y65" i="32"/>
  <c r="AB65" i="32" s="1"/>
  <c r="N65" i="32" s="1"/>
  <c r="N65" i="33" s="1"/>
  <c r="N67" i="19" s="1"/>
  <c r="M67" i="32"/>
  <c r="Y67" i="32"/>
  <c r="AB67" i="32" s="1"/>
  <c r="N67" i="32" s="1"/>
  <c r="N67" i="33" s="1"/>
  <c r="N69" i="19" s="1"/>
  <c r="H104" i="32"/>
  <c r="H106" i="32" s="1"/>
  <c r="M27" i="32"/>
  <c r="Y27" i="32"/>
  <c r="M30" i="32"/>
  <c r="H41" i="32"/>
  <c r="M43" i="32"/>
  <c r="Y43" i="32"/>
  <c r="AB43" i="32" s="1"/>
  <c r="N43" i="32" s="1"/>
  <c r="N43" i="33" s="1"/>
  <c r="N45" i="19" s="1"/>
  <c r="H45" i="32"/>
  <c r="M45" i="32" s="1"/>
  <c r="M69" i="32"/>
  <c r="M72" i="32"/>
  <c r="Y72" i="32"/>
  <c r="AB72" i="32" s="1"/>
  <c r="N72" i="32" s="1"/>
  <c r="N72" i="33" s="1"/>
  <c r="N74" i="19" s="1"/>
  <c r="M74" i="32"/>
  <c r="Y74" i="32"/>
  <c r="AB74" i="32" s="1"/>
  <c r="N74" i="32" s="1"/>
  <c r="N74" i="33" s="1"/>
  <c r="N76" i="19" s="1"/>
  <c r="M76" i="32"/>
  <c r="Y76" i="32"/>
  <c r="AB76" i="32" s="1"/>
  <c r="N76" i="32" s="1"/>
  <c r="N76" i="33" s="1"/>
  <c r="N78" i="19" s="1"/>
  <c r="M78" i="32"/>
  <c r="Y78" i="32"/>
  <c r="AB78" i="32" s="1"/>
  <c r="N78" i="32" s="1"/>
  <c r="N78" i="33" s="1"/>
  <c r="N80" i="19" s="1"/>
  <c r="M80" i="32"/>
  <c r="Y80" i="32"/>
  <c r="M104" i="32"/>
  <c r="Y104" i="32"/>
  <c r="AB104" i="32" s="1"/>
  <c r="N104" i="32" s="1"/>
  <c r="N104" i="33" s="1"/>
  <c r="Z108" i="32"/>
  <c r="M29" i="32"/>
  <c r="Y29" i="32"/>
  <c r="AB29" i="32" s="1"/>
  <c r="N29" i="32" s="1"/>
  <c r="M32" i="32"/>
  <c r="I42" i="32"/>
  <c r="M41" i="32"/>
  <c r="Y41" i="32"/>
  <c r="AB41" i="32" s="1"/>
  <c r="N41" i="32" s="1"/>
  <c r="N41" i="33" s="1"/>
  <c r="G44" i="32"/>
  <c r="M53" i="32"/>
  <c r="L58" i="32"/>
  <c r="L8" i="32" s="1"/>
  <c r="M8" i="32" s="1"/>
  <c r="Y55" i="32"/>
  <c r="AB55" i="32" s="1"/>
  <c r="N55" i="32" s="1"/>
  <c r="N55" i="33" s="1"/>
  <c r="N57" i="19" s="1"/>
  <c r="M64" i="32"/>
  <c r="Y64" i="32"/>
  <c r="AB64" i="32" s="1"/>
  <c r="N64" i="32" s="1"/>
  <c r="N64" i="33" s="1"/>
  <c r="N66" i="19" s="1"/>
  <c r="M66" i="32"/>
  <c r="Y66" i="32"/>
  <c r="AB66" i="32" s="1"/>
  <c r="N66" i="32" s="1"/>
  <c r="N66" i="33" s="1"/>
  <c r="N68" i="19" s="1"/>
  <c r="M68" i="32"/>
  <c r="Y68" i="32"/>
  <c r="AB68" i="32" s="1"/>
  <c r="N68" i="32" s="1"/>
  <c r="N68" i="33" s="1"/>
  <c r="N70" i="19" s="1"/>
  <c r="K108" i="32"/>
  <c r="K13" i="32" s="1"/>
  <c r="M70" i="32"/>
  <c r="Y70" i="32"/>
  <c r="AB70" i="32" s="1"/>
  <c r="N70" i="32" s="1"/>
  <c r="N70" i="33" s="1"/>
  <c r="N72" i="19" s="1"/>
  <c r="M71" i="32"/>
  <c r="Y71" i="32"/>
  <c r="AB71" i="32" s="1"/>
  <c r="N71" i="32" s="1"/>
  <c r="N71" i="33" s="1"/>
  <c r="N73" i="19" s="1"/>
  <c r="M73" i="32"/>
  <c r="Y73" i="32"/>
  <c r="AB73" i="32" s="1"/>
  <c r="N73" i="32" s="1"/>
  <c r="N73" i="33" s="1"/>
  <c r="N75" i="19" s="1"/>
  <c r="M75" i="32"/>
  <c r="Y75" i="32"/>
  <c r="AB75" i="32" s="1"/>
  <c r="N75" i="32" s="1"/>
  <c r="N75" i="33" s="1"/>
  <c r="N77" i="19" s="1"/>
  <c r="M77" i="32"/>
  <c r="Y77" i="32"/>
  <c r="AB77" i="32" s="1"/>
  <c r="N77" i="32" s="1"/>
  <c r="N77" i="33" s="1"/>
  <c r="N79" i="19" s="1"/>
  <c r="M79" i="32"/>
  <c r="Y79" i="32"/>
  <c r="AB79" i="32" s="1"/>
  <c r="L89" i="32"/>
  <c r="M89" i="32" s="1"/>
  <c r="L97" i="32"/>
  <c r="G104" i="32"/>
  <c r="G106" i="32" s="1"/>
  <c r="AB33" i="32"/>
  <c r="N33" i="32" s="1"/>
  <c r="J108" i="32"/>
  <c r="J13" i="32" s="1"/>
  <c r="L11" i="32"/>
  <c r="M11" i="32" s="1"/>
  <c r="M97" i="32"/>
  <c r="L12" i="32"/>
  <c r="M106" i="32"/>
  <c r="G12" i="32"/>
  <c r="H12" i="32"/>
  <c r="L48" i="32"/>
  <c r="M55" i="32"/>
  <c r="I65" i="32"/>
  <c r="I81" i="32" s="1"/>
  <c r="I9" i="32" s="1"/>
  <c r="I54" i="32"/>
  <c r="I58" i="32" s="1"/>
  <c r="I8" i="32" s="1"/>
  <c r="J12" i="32"/>
  <c r="L36" i="32"/>
  <c r="M94" i="32"/>
  <c r="I104" i="32"/>
  <c r="I106" i="32" s="1"/>
  <c r="M105" i="32"/>
  <c r="K12" i="32"/>
  <c r="G43" i="32"/>
  <c r="I43" i="32" s="1"/>
  <c r="H44" i="32"/>
  <c r="M44" i="32" s="1"/>
  <c r="M86" i="32"/>
  <c r="L81" i="32"/>
  <c r="N10" i="32"/>
  <c r="L81" i="19"/>
  <c r="M81" i="19" s="1"/>
  <c r="I81" i="19"/>
  <c r="L80" i="19"/>
  <c r="M80" i="19" s="1"/>
  <c r="I80" i="19"/>
  <c r="I118" i="19"/>
  <c r="G66" i="19"/>
  <c r="N58" i="33" l="1"/>
  <c r="N8" i="33" s="1"/>
  <c r="N56" i="19"/>
  <c r="N106" i="33"/>
  <c r="N106" i="19"/>
  <c r="N48" i="33"/>
  <c r="N7" i="33" s="1"/>
  <c r="N43" i="19"/>
  <c r="N81" i="33"/>
  <c r="N9" i="33" s="1"/>
  <c r="N65" i="19"/>
  <c r="N48" i="32"/>
  <c r="N7" i="32" s="1"/>
  <c r="AB27" i="32"/>
  <c r="Y108" i="32"/>
  <c r="M58" i="32"/>
  <c r="L10" i="32"/>
  <c r="M10" i="32" s="1"/>
  <c r="G48" i="32"/>
  <c r="N58" i="32"/>
  <c r="N8" i="32" s="1"/>
  <c r="N81" i="32"/>
  <c r="N9" i="32" s="1"/>
  <c r="I45" i="32"/>
  <c r="H48" i="32"/>
  <c r="H7" i="32" s="1"/>
  <c r="I44" i="32"/>
  <c r="I48" i="32" s="1"/>
  <c r="N106" i="32"/>
  <c r="L7" i="32"/>
  <c r="M48" i="32"/>
  <c r="I12" i="32"/>
  <c r="L6" i="32"/>
  <c r="M6" i="32" s="1"/>
  <c r="M36" i="32"/>
  <c r="M81" i="32"/>
  <c r="L9" i="32"/>
  <c r="M9" i="32" s="1"/>
  <c r="M12" i="32"/>
  <c r="L108" i="32"/>
  <c r="D20" i="30"/>
  <c r="N12" i="33" l="1"/>
  <c r="N108" i="33"/>
  <c r="N13" i="33" s="1"/>
  <c r="M133" i="33" s="1"/>
  <c r="N133" i="33" s="1"/>
  <c r="I7" i="32"/>
  <c r="I108" i="32"/>
  <c r="I13" i="32" s="1"/>
  <c r="N12" i="32"/>
  <c r="G7" i="32"/>
  <c r="G108" i="32"/>
  <c r="G13" i="32" s="1"/>
  <c r="N27" i="32"/>
  <c r="AB108" i="32"/>
  <c r="H108" i="32"/>
  <c r="M108" i="32" s="1"/>
  <c r="F104" i="32"/>
  <c r="L13" i="32"/>
  <c r="M7" i="32"/>
  <c r="G65" i="19"/>
  <c r="C12" i="30"/>
  <c r="H13" i="32" l="1"/>
  <c r="N36" i="32"/>
  <c r="B14" i="32"/>
  <c r="B15" i="32" s="1"/>
  <c r="M13" i="32"/>
  <c r="G68" i="19"/>
  <c r="G70" i="19"/>
  <c r="G67" i="19"/>
  <c r="N6" i="32" l="1"/>
  <c r="N108" i="32"/>
  <c r="N13" i="32" s="1"/>
  <c r="M133" i="32" s="1"/>
  <c r="N133" i="32" s="1"/>
  <c r="G73" i="19"/>
  <c r="G69" i="19"/>
  <c r="G56" i="19"/>
  <c r="G55" i="19"/>
  <c r="D23" i="26" l="1"/>
  <c r="C23" i="26"/>
  <c r="B23" i="26"/>
  <c r="K135" i="19"/>
  <c r="J135" i="19"/>
  <c r="I135" i="19"/>
  <c r="C4" i="14"/>
  <c r="C3" i="14"/>
  <c r="N91" i="19"/>
  <c r="I47" i="26" l="1"/>
  <c r="E47" i="26"/>
  <c r="C39" i="30" l="1"/>
  <c r="D39" i="30"/>
  <c r="D13" i="19" l="1"/>
  <c r="D12" i="19"/>
  <c r="D11" i="19"/>
  <c r="D10" i="19"/>
  <c r="D9" i="19"/>
  <c r="L134" i="19" l="1"/>
  <c r="L133" i="19"/>
  <c r="L131" i="19"/>
  <c r="L130" i="19"/>
  <c r="L128" i="19"/>
  <c r="L127" i="19"/>
  <c r="L125" i="19"/>
  <c r="L124" i="19"/>
  <c r="L122" i="19"/>
  <c r="L121" i="19"/>
  <c r="L119" i="19"/>
  <c r="L118" i="19"/>
  <c r="D8" i="19"/>
  <c r="D7" i="19"/>
  <c r="D6" i="19"/>
  <c r="L135" i="19" l="1"/>
  <c r="H47" i="26"/>
  <c r="G47" i="26"/>
  <c r="F47" i="26"/>
  <c r="C8" i="14"/>
  <c r="C7" i="14"/>
  <c r="N108" i="19"/>
  <c r="K108" i="19"/>
  <c r="J108" i="19"/>
  <c r="F107" i="19"/>
  <c r="L107" i="19"/>
  <c r="M107" i="19" s="1"/>
  <c r="I107" i="19"/>
  <c r="E7" i="14"/>
  <c r="I98" i="19"/>
  <c r="I97" i="19"/>
  <c r="I96" i="19"/>
  <c r="I90" i="19"/>
  <c r="I89" i="19"/>
  <c r="I88" i="19"/>
  <c r="I82" i="19"/>
  <c r="I79" i="19"/>
  <c r="I78" i="19"/>
  <c r="I77" i="19"/>
  <c r="I76" i="19"/>
  <c r="I75" i="19"/>
  <c r="I74" i="19"/>
  <c r="I73" i="19"/>
  <c r="I72" i="19"/>
  <c r="I71" i="19"/>
  <c r="I70" i="19"/>
  <c r="I69" i="19"/>
  <c r="I68" i="19"/>
  <c r="I67" i="19"/>
  <c r="I66" i="19"/>
  <c r="I65" i="19"/>
  <c r="L98" i="19"/>
  <c r="M98" i="19" s="1"/>
  <c r="L97" i="19"/>
  <c r="M97" i="19" s="1"/>
  <c r="L90" i="19"/>
  <c r="M90" i="19" s="1"/>
  <c r="L89" i="19"/>
  <c r="M89" i="19" s="1"/>
  <c r="L77" i="19"/>
  <c r="M77" i="19" s="1"/>
  <c r="L76" i="19"/>
  <c r="M76" i="19" s="1"/>
  <c r="L75" i="19"/>
  <c r="M75" i="19" s="1"/>
  <c r="L74" i="19"/>
  <c r="M74" i="19" s="1"/>
  <c r="L73" i="19"/>
  <c r="M73" i="19" s="1"/>
  <c r="L72" i="19"/>
  <c r="M72" i="19" s="1"/>
  <c r="L71" i="19"/>
  <c r="M71" i="19" s="1"/>
  <c r="L70" i="19"/>
  <c r="M70" i="19" s="1"/>
  <c r="L69" i="19"/>
  <c r="M69" i="19" s="1"/>
  <c r="L68" i="19"/>
  <c r="M68" i="19" s="1"/>
  <c r="L67" i="19"/>
  <c r="M67" i="19" s="1"/>
  <c r="I56" i="19"/>
  <c r="L56" i="19"/>
  <c r="M56" i="19" s="1"/>
  <c r="I57" i="19"/>
  <c r="L57" i="19"/>
  <c r="M57" i="19" s="1"/>
  <c r="I58" i="19"/>
  <c r="L58" i="19"/>
  <c r="M58" i="19" s="1"/>
  <c r="I59" i="19"/>
  <c r="L59" i="19"/>
  <c r="M59" i="19" s="1"/>
  <c r="L44" i="19"/>
  <c r="L45" i="19"/>
  <c r="L46" i="19"/>
  <c r="L47" i="19"/>
  <c r="I48" i="19"/>
  <c r="L48" i="19"/>
  <c r="M48" i="19" s="1"/>
  <c r="I49" i="19"/>
  <c r="L49" i="19"/>
  <c r="M49" i="19" s="1"/>
  <c r="I27" i="19"/>
  <c r="I28" i="19" s="1"/>
  <c r="E8" i="14"/>
  <c r="I37" i="19"/>
  <c r="I36" i="19"/>
  <c r="I34" i="19"/>
  <c r="I33" i="19"/>
  <c r="I32" i="19"/>
  <c r="I31" i="19"/>
  <c r="I30" i="19"/>
  <c r="I29" i="19"/>
  <c r="G83" i="19"/>
  <c r="G9" i="19" s="1"/>
  <c r="L82" i="19"/>
  <c r="M82" i="19" s="1"/>
  <c r="L79" i="19"/>
  <c r="M79" i="19" s="1"/>
  <c r="L78" i="19"/>
  <c r="M78" i="19" s="1"/>
  <c r="L37" i="19"/>
  <c r="M37" i="19" s="1"/>
  <c r="L36" i="19"/>
  <c r="M36" i="19" s="1"/>
  <c r="L34" i="19"/>
  <c r="M34" i="19" s="1"/>
  <c r="L33" i="19"/>
  <c r="M33" i="19" s="1"/>
  <c r="XFD33" i="19" s="1"/>
  <c r="N6" i="19"/>
  <c r="N50" i="19"/>
  <c r="N7" i="19" s="1"/>
  <c r="N60" i="19"/>
  <c r="N8" i="19" s="1"/>
  <c r="N83" i="19"/>
  <c r="N9" i="19" s="1"/>
  <c r="J91" i="19"/>
  <c r="J10" i="19" s="1"/>
  <c r="K91" i="19"/>
  <c r="K10" i="19" s="1"/>
  <c r="N99" i="19"/>
  <c r="N11" i="19" s="1"/>
  <c r="L27" i="19"/>
  <c r="L29" i="19"/>
  <c r="L30" i="19"/>
  <c r="M30" i="19" s="1"/>
  <c r="XFD30" i="19" s="1"/>
  <c r="L31" i="19"/>
  <c r="M31" i="19" s="1"/>
  <c r="L32" i="19"/>
  <c r="M32" i="19" s="1"/>
  <c r="XFD32" i="19" s="1"/>
  <c r="XFD34" i="19" s="1"/>
  <c r="L43" i="19"/>
  <c r="J6" i="19"/>
  <c r="D47" i="26"/>
  <c r="C47" i="26"/>
  <c r="B47" i="26"/>
  <c r="D32" i="26"/>
  <c r="C32" i="26"/>
  <c r="B32" i="26"/>
  <c r="B4" i="14"/>
  <c r="B3" i="14"/>
  <c r="G60" i="19"/>
  <c r="G8" i="19" s="1"/>
  <c r="G91" i="19"/>
  <c r="G10" i="19" s="1"/>
  <c r="G99" i="19"/>
  <c r="G11" i="19" s="1"/>
  <c r="H60" i="19"/>
  <c r="H8" i="19" s="1"/>
  <c r="H83" i="19"/>
  <c r="H9" i="19" s="1"/>
  <c r="H91" i="19"/>
  <c r="H10" i="19" s="1"/>
  <c r="H99" i="19"/>
  <c r="H11" i="19" s="1"/>
  <c r="L55" i="19"/>
  <c r="M55" i="19" s="1"/>
  <c r="I55" i="19"/>
  <c r="L66" i="19"/>
  <c r="M66" i="19" s="1"/>
  <c r="L106" i="19"/>
  <c r="K99" i="19"/>
  <c r="K11" i="19" s="1"/>
  <c r="J99" i="19"/>
  <c r="J11" i="19" s="1"/>
  <c r="L96" i="19"/>
  <c r="M96" i="19" s="1"/>
  <c r="L88" i="19"/>
  <c r="M88" i="19" s="1"/>
  <c r="L65" i="19"/>
  <c r="M65" i="19" s="1"/>
  <c r="K83" i="19"/>
  <c r="K9" i="19" s="1"/>
  <c r="J83" i="19"/>
  <c r="J9" i="19" s="1"/>
  <c r="K60" i="19"/>
  <c r="K8" i="19" s="1"/>
  <c r="J60" i="19"/>
  <c r="J8" i="19" s="1"/>
  <c r="K50" i="19"/>
  <c r="K7" i="19" s="1"/>
  <c r="J50" i="19"/>
  <c r="J7" i="19" s="1"/>
  <c r="K6" i="19"/>
  <c r="I35" i="19" l="1"/>
  <c r="M29" i="19"/>
  <c r="XFD29" i="19" s="1"/>
  <c r="XFD31" i="19" s="1"/>
  <c r="L35" i="19"/>
  <c r="M35" i="19" s="1"/>
  <c r="M27" i="19"/>
  <c r="XFD27" i="19" s="1"/>
  <c r="L28" i="19"/>
  <c r="M28" i="19" s="1"/>
  <c r="H6" i="19"/>
  <c r="H108" i="19"/>
  <c r="M46" i="19"/>
  <c r="M44" i="19"/>
  <c r="M43" i="19"/>
  <c r="M47" i="19"/>
  <c r="M45" i="19"/>
  <c r="G6" i="19"/>
  <c r="G106" i="19"/>
  <c r="G44" i="19"/>
  <c r="G43" i="19"/>
  <c r="G47" i="19"/>
  <c r="G45" i="19"/>
  <c r="G46" i="19"/>
  <c r="N12" i="19"/>
  <c r="J12" i="19"/>
  <c r="J110" i="19"/>
  <c r="J13" i="19" s="1"/>
  <c r="K12" i="19"/>
  <c r="K110" i="19"/>
  <c r="K13" i="19" s="1"/>
  <c r="E9" i="14"/>
  <c r="C9" i="14"/>
  <c r="I83" i="19"/>
  <c r="I9" i="19" s="1"/>
  <c r="I91" i="19"/>
  <c r="I10" i="19" s="1"/>
  <c r="N10" i="19"/>
  <c r="I60" i="19"/>
  <c r="I8" i="19" s="1"/>
  <c r="I6" i="19"/>
  <c r="L50" i="19"/>
  <c r="I99" i="19"/>
  <c r="L83" i="19"/>
  <c r="L108" i="19"/>
  <c r="L12" i="19" s="1"/>
  <c r="L60" i="19"/>
  <c r="M60" i="19" s="1"/>
  <c r="L91" i="19"/>
  <c r="L10" i="19" s="1"/>
  <c r="M10" i="19" s="1"/>
  <c r="L99" i="19"/>
  <c r="L6" i="19"/>
  <c r="I44" i="19" l="1"/>
  <c r="I45" i="19"/>
  <c r="I46" i="19"/>
  <c r="I47" i="19"/>
  <c r="H12" i="19"/>
  <c r="M12" i="19" s="1"/>
  <c r="H50" i="19"/>
  <c r="H7" i="19" s="1"/>
  <c r="M106" i="19"/>
  <c r="I43" i="19"/>
  <c r="G50" i="19"/>
  <c r="G7" i="19" s="1"/>
  <c r="I106" i="19"/>
  <c r="I108" i="19" s="1"/>
  <c r="I12" i="19" s="1"/>
  <c r="G108" i="19"/>
  <c r="N110" i="19"/>
  <c r="N13" i="19" s="1"/>
  <c r="I11" i="19"/>
  <c r="M99" i="19"/>
  <c r="L110" i="19"/>
  <c r="L13" i="19" s="1"/>
  <c r="L11" i="19"/>
  <c r="M11" i="19" s="1"/>
  <c r="M83" i="19"/>
  <c r="L9" i="19"/>
  <c r="M9" i="19" s="1"/>
  <c r="L7" i="19"/>
  <c r="M38" i="19"/>
  <c r="M91" i="19"/>
  <c r="L8" i="19"/>
  <c r="M8" i="19" s="1"/>
  <c r="M108" i="19"/>
  <c r="M6" i="19"/>
  <c r="B14" i="19" l="1"/>
  <c r="M135" i="19"/>
  <c r="I50" i="19"/>
  <c r="I7" i="19" s="1"/>
  <c r="M7" i="19"/>
  <c r="M50" i="19"/>
  <c r="H110" i="19"/>
  <c r="M110" i="19" s="1"/>
  <c r="G110" i="19"/>
  <c r="G13" i="19" s="1"/>
  <c r="G12" i="19"/>
  <c r="C50" i="26"/>
  <c r="E12" i="14"/>
  <c r="E15" i="14" s="1"/>
  <c r="F15" i="14" s="1"/>
  <c r="F12" i="14"/>
  <c r="I110" i="19" l="1"/>
  <c r="I13" i="19" s="1"/>
  <c r="H13" i="19"/>
  <c r="F106" i="19"/>
  <c r="B50" i="26"/>
  <c r="C12" i="14"/>
  <c r="C15" i="14" s="1"/>
  <c r="E16" i="14"/>
  <c r="E18" i="14" s="1"/>
  <c r="N135" i="19"/>
  <c r="B15" i="19"/>
  <c r="D12" i="14" l="1"/>
  <c r="C16" i="14" s="1"/>
  <c r="D16" i="14" s="1"/>
  <c r="M13" i="19"/>
  <c r="D15" i="14"/>
  <c r="F16" i="14"/>
  <c r="F18" i="14"/>
  <c r="C18" i="14" l="1"/>
  <c r="D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Amaral</author>
  </authors>
  <commentList>
    <comment ref="H27" authorId="0" shapeId="0" xr:uid="{00000000-0006-0000-0300-000001000000}">
      <text>
        <r>
          <rPr>
            <b/>
            <sz val="9"/>
            <color indexed="81"/>
            <rFont val="Tahoma"/>
            <family val="2"/>
          </rPr>
          <t>Marc Amaral:</t>
        </r>
        <r>
          <rPr>
            <sz val="9"/>
            <color indexed="81"/>
            <rFont val="Tahoma"/>
            <family val="2"/>
          </rPr>
          <t xml:space="preserve">
BudMod1</t>
        </r>
      </text>
    </comment>
    <comment ref="H28" authorId="0" shapeId="0" xr:uid="{00000000-0006-0000-0300-000002000000}">
      <text>
        <r>
          <rPr>
            <b/>
            <sz val="9"/>
            <color indexed="81"/>
            <rFont val="Tahoma"/>
            <family val="2"/>
          </rPr>
          <t>Marc Amaral:</t>
        </r>
        <r>
          <rPr>
            <sz val="9"/>
            <color indexed="81"/>
            <rFont val="Tahoma"/>
            <family val="2"/>
          </rPr>
          <t xml:space="preserve">
BudMod1</t>
        </r>
      </text>
    </comment>
    <comment ref="H29" authorId="0" shapeId="0" xr:uid="{00000000-0006-0000-0300-000003000000}">
      <text>
        <r>
          <rPr>
            <b/>
            <sz val="9"/>
            <color indexed="81"/>
            <rFont val="Tahoma"/>
            <family val="2"/>
          </rPr>
          <t>Marc Amaral:</t>
        </r>
        <r>
          <rPr>
            <sz val="9"/>
            <color indexed="81"/>
            <rFont val="Tahoma"/>
            <family val="2"/>
          </rPr>
          <t xml:space="preserve">
BudMod1</t>
        </r>
      </text>
    </comment>
    <comment ref="H30" authorId="0" shapeId="0" xr:uid="{00000000-0006-0000-0300-000004000000}">
      <text>
        <r>
          <rPr>
            <b/>
            <sz val="9"/>
            <color indexed="81"/>
            <rFont val="Tahoma"/>
            <family val="2"/>
          </rPr>
          <t>Marc Amaral:</t>
        </r>
        <r>
          <rPr>
            <sz val="9"/>
            <color indexed="81"/>
            <rFont val="Tahoma"/>
            <family val="2"/>
          </rPr>
          <t xml:space="preserve">
BudMod1</t>
        </r>
      </text>
    </comment>
    <comment ref="H31" authorId="0" shapeId="0" xr:uid="{00000000-0006-0000-0300-000005000000}">
      <text>
        <r>
          <rPr>
            <b/>
            <sz val="9"/>
            <color indexed="81"/>
            <rFont val="Tahoma"/>
            <family val="2"/>
          </rPr>
          <t>Marc Amaral:</t>
        </r>
        <r>
          <rPr>
            <sz val="9"/>
            <color indexed="81"/>
            <rFont val="Tahoma"/>
            <family val="2"/>
          </rPr>
          <t xml:space="preserve">
BudMod1</t>
        </r>
      </text>
    </comment>
    <comment ref="H32" authorId="0" shapeId="0" xr:uid="{00000000-0006-0000-0300-000006000000}">
      <text>
        <r>
          <rPr>
            <b/>
            <sz val="9"/>
            <color indexed="81"/>
            <rFont val="Tahoma"/>
            <family val="2"/>
          </rPr>
          <t>Marc Amaral:</t>
        </r>
        <r>
          <rPr>
            <sz val="9"/>
            <color indexed="81"/>
            <rFont val="Tahoma"/>
            <family val="2"/>
          </rPr>
          <t xml:space="preserve">
BudMod1</t>
        </r>
      </text>
    </comment>
    <comment ref="H33" authorId="0" shapeId="0" xr:uid="{00000000-0006-0000-0300-000007000000}">
      <text>
        <r>
          <rPr>
            <b/>
            <sz val="9"/>
            <color indexed="81"/>
            <rFont val="Tahoma"/>
            <family val="2"/>
          </rPr>
          <t>Marc Amaral:</t>
        </r>
        <r>
          <rPr>
            <sz val="9"/>
            <color indexed="81"/>
            <rFont val="Tahoma"/>
            <family val="2"/>
          </rPr>
          <t xml:space="preserve">
BudMod1</t>
        </r>
      </text>
    </comment>
    <comment ref="H41" authorId="0" shapeId="0" xr:uid="{00000000-0006-0000-0300-000008000000}">
      <text>
        <r>
          <rPr>
            <b/>
            <sz val="9"/>
            <color indexed="81"/>
            <rFont val="Tahoma"/>
            <family val="2"/>
          </rPr>
          <t>Marc Amaral:</t>
        </r>
        <r>
          <rPr>
            <sz val="9"/>
            <color indexed="81"/>
            <rFont val="Tahoma"/>
            <family val="2"/>
          </rPr>
          <t xml:space="preserve">
BudMod1</t>
        </r>
      </text>
    </comment>
    <comment ref="H42" authorId="0" shapeId="0" xr:uid="{00000000-0006-0000-0300-000009000000}">
      <text>
        <r>
          <rPr>
            <b/>
            <sz val="9"/>
            <color indexed="81"/>
            <rFont val="Tahoma"/>
            <family val="2"/>
          </rPr>
          <t>Marc Amaral:</t>
        </r>
        <r>
          <rPr>
            <sz val="9"/>
            <color indexed="81"/>
            <rFont val="Tahoma"/>
            <family val="2"/>
          </rPr>
          <t xml:space="preserve">
BudMod1</t>
        </r>
      </text>
    </comment>
    <comment ref="H43" authorId="0" shapeId="0" xr:uid="{00000000-0006-0000-0300-00000A000000}">
      <text>
        <r>
          <rPr>
            <b/>
            <sz val="9"/>
            <color indexed="81"/>
            <rFont val="Tahoma"/>
            <family val="2"/>
          </rPr>
          <t>Marc Amaral:</t>
        </r>
        <r>
          <rPr>
            <sz val="9"/>
            <color indexed="81"/>
            <rFont val="Tahoma"/>
            <family val="2"/>
          </rPr>
          <t xml:space="preserve">
BudMod1</t>
        </r>
      </text>
    </comment>
    <comment ref="H44" authorId="0" shapeId="0" xr:uid="{00000000-0006-0000-0300-00000B000000}">
      <text>
        <r>
          <rPr>
            <b/>
            <sz val="9"/>
            <color indexed="81"/>
            <rFont val="Tahoma"/>
            <family val="2"/>
          </rPr>
          <t>Marc Amaral:</t>
        </r>
        <r>
          <rPr>
            <sz val="9"/>
            <color indexed="81"/>
            <rFont val="Tahoma"/>
            <family val="2"/>
          </rPr>
          <t xml:space="preserve">
BudMod1</t>
        </r>
      </text>
    </comment>
    <comment ref="H45" authorId="0" shapeId="0" xr:uid="{00000000-0006-0000-0300-00000C000000}">
      <text>
        <r>
          <rPr>
            <b/>
            <sz val="9"/>
            <color indexed="81"/>
            <rFont val="Tahoma"/>
            <family val="2"/>
          </rPr>
          <t>Marc Amaral:</t>
        </r>
        <r>
          <rPr>
            <sz val="9"/>
            <color indexed="81"/>
            <rFont val="Tahoma"/>
            <family val="2"/>
          </rPr>
          <t xml:space="preserve">
BudMod1</t>
        </r>
      </text>
    </comment>
    <comment ref="H53" authorId="0" shapeId="0" xr:uid="{00000000-0006-0000-0300-00000D000000}">
      <text>
        <r>
          <rPr>
            <b/>
            <sz val="9"/>
            <color indexed="81"/>
            <rFont val="Tahoma"/>
            <family val="2"/>
          </rPr>
          <t>Marc Amaral:</t>
        </r>
        <r>
          <rPr>
            <sz val="9"/>
            <color indexed="81"/>
            <rFont val="Tahoma"/>
            <family val="2"/>
          </rPr>
          <t xml:space="preserve">
BudMod1</t>
        </r>
      </text>
    </comment>
    <comment ref="H54" authorId="0" shapeId="0" xr:uid="{00000000-0006-0000-0300-00000E000000}">
      <text>
        <r>
          <rPr>
            <b/>
            <sz val="9"/>
            <color indexed="81"/>
            <rFont val="Tahoma"/>
            <family val="2"/>
          </rPr>
          <t>Marc Amaral:</t>
        </r>
        <r>
          <rPr>
            <sz val="9"/>
            <color indexed="81"/>
            <rFont val="Tahoma"/>
            <family val="2"/>
          </rPr>
          <t xml:space="preserve">
BudMod1</t>
        </r>
      </text>
    </comment>
    <comment ref="H55" authorId="0" shapeId="0" xr:uid="{00000000-0006-0000-0300-00000F000000}">
      <text>
        <r>
          <rPr>
            <b/>
            <sz val="9"/>
            <color indexed="81"/>
            <rFont val="Tahoma"/>
            <family val="2"/>
          </rPr>
          <t>Marc Amaral:</t>
        </r>
        <r>
          <rPr>
            <sz val="9"/>
            <color indexed="81"/>
            <rFont val="Tahoma"/>
            <family val="2"/>
          </rPr>
          <t xml:space="preserve">
BudMod1</t>
        </r>
      </text>
    </comment>
    <comment ref="H63" authorId="0" shapeId="0" xr:uid="{00000000-0006-0000-0300-000010000000}">
      <text>
        <r>
          <rPr>
            <b/>
            <sz val="9"/>
            <color indexed="81"/>
            <rFont val="Tahoma"/>
            <family val="2"/>
          </rPr>
          <t>Marc Amaral:</t>
        </r>
        <r>
          <rPr>
            <sz val="9"/>
            <color indexed="81"/>
            <rFont val="Tahoma"/>
            <family val="2"/>
          </rPr>
          <t xml:space="preserve">
BudMod1</t>
        </r>
      </text>
    </comment>
    <comment ref="H64" authorId="0" shapeId="0" xr:uid="{00000000-0006-0000-0300-000011000000}">
      <text>
        <r>
          <rPr>
            <b/>
            <sz val="9"/>
            <color indexed="81"/>
            <rFont val="Tahoma"/>
            <family val="2"/>
          </rPr>
          <t>Marc Amaral:</t>
        </r>
        <r>
          <rPr>
            <sz val="9"/>
            <color indexed="81"/>
            <rFont val="Tahoma"/>
            <family val="2"/>
          </rPr>
          <t xml:space="preserve">
BudMod1</t>
        </r>
      </text>
    </comment>
    <comment ref="H65" authorId="0" shapeId="0" xr:uid="{00000000-0006-0000-0300-000012000000}">
      <text>
        <r>
          <rPr>
            <b/>
            <sz val="9"/>
            <color indexed="81"/>
            <rFont val="Tahoma"/>
            <family val="2"/>
          </rPr>
          <t>Marc Amaral:</t>
        </r>
        <r>
          <rPr>
            <sz val="9"/>
            <color indexed="81"/>
            <rFont val="Tahoma"/>
            <family val="2"/>
          </rPr>
          <t xml:space="preserve">
BudMod1</t>
        </r>
      </text>
    </comment>
    <comment ref="H66" authorId="0" shapeId="0" xr:uid="{00000000-0006-0000-0300-000013000000}">
      <text>
        <r>
          <rPr>
            <b/>
            <sz val="9"/>
            <color indexed="81"/>
            <rFont val="Tahoma"/>
            <family val="2"/>
          </rPr>
          <t>Marc Amaral:</t>
        </r>
        <r>
          <rPr>
            <sz val="9"/>
            <color indexed="81"/>
            <rFont val="Tahoma"/>
            <family val="2"/>
          </rPr>
          <t xml:space="preserve">
BudMod1</t>
        </r>
      </text>
    </comment>
    <comment ref="H67" authorId="0" shapeId="0" xr:uid="{00000000-0006-0000-0300-000014000000}">
      <text>
        <r>
          <rPr>
            <b/>
            <sz val="9"/>
            <color indexed="81"/>
            <rFont val="Tahoma"/>
            <family val="2"/>
          </rPr>
          <t>Marc Amaral:</t>
        </r>
        <r>
          <rPr>
            <sz val="9"/>
            <color indexed="81"/>
            <rFont val="Tahoma"/>
            <family val="2"/>
          </rPr>
          <t xml:space="preserve">
BudMod1</t>
        </r>
      </text>
    </comment>
    <comment ref="H71" authorId="0" shapeId="0" xr:uid="{00000000-0006-0000-0300-000015000000}">
      <text>
        <r>
          <rPr>
            <b/>
            <sz val="9"/>
            <color indexed="81"/>
            <rFont val="Tahoma"/>
            <family val="2"/>
          </rPr>
          <t>Marc Amaral:</t>
        </r>
        <r>
          <rPr>
            <sz val="9"/>
            <color indexed="81"/>
            <rFont val="Tahoma"/>
            <family val="2"/>
          </rPr>
          <t xml:space="preserve">
BudMod1</t>
        </r>
      </text>
    </comment>
    <comment ref="H72" authorId="0" shapeId="0" xr:uid="{00000000-0006-0000-0300-000016000000}">
      <text>
        <r>
          <rPr>
            <b/>
            <sz val="9"/>
            <color indexed="81"/>
            <rFont val="Tahoma"/>
            <family val="2"/>
          </rPr>
          <t>Marc Amaral:</t>
        </r>
        <r>
          <rPr>
            <sz val="9"/>
            <color indexed="81"/>
            <rFont val="Tahoma"/>
            <family val="2"/>
          </rPr>
          <t xml:space="preserve">
BudMod1</t>
        </r>
      </text>
    </comment>
    <comment ref="H73" authorId="0" shapeId="0" xr:uid="{00000000-0006-0000-0300-000017000000}">
      <text>
        <r>
          <rPr>
            <b/>
            <sz val="9"/>
            <color indexed="81"/>
            <rFont val="Tahoma"/>
            <family val="2"/>
          </rPr>
          <t>Marc Amaral:</t>
        </r>
        <r>
          <rPr>
            <sz val="9"/>
            <color indexed="81"/>
            <rFont val="Tahoma"/>
            <family val="2"/>
          </rPr>
          <t xml:space="preserve">
BudMod1</t>
        </r>
      </text>
    </comment>
    <comment ref="H75" authorId="0" shapeId="0" xr:uid="{00000000-0006-0000-0300-000018000000}">
      <text>
        <r>
          <rPr>
            <b/>
            <sz val="9"/>
            <color indexed="81"/>
            <rFont val="Tahoma"/>
            <family val="2"/>
          </rPr>
          <t>Marc Amaral:</t>
        </r>
        <r>
          <rPr>
            <sz val="9"/>
            <color indexed="81"/>
            <rFont val="Tahoma"/>
            <family val="2"/>
          </rPr>
          <t xml:space="preserve">
BudMod1</t>
        </r>
      </text>
    </comment>
    <comment ref="H78" authorId="0" shapeId="0" xr:uid="{00000000-0006-0000-0300-000019000000}">
      <text>
        <r>
          <rPr>
            <b/>
            <sz val="9"/>
            <color indexed="81"/>
            <rFont val="Tahoma"/>
            <family val="2"/>
          </rPr>
          <t>Marc Amaral:</t>
        </r>
        <r>
          <rPr>
            <sz val="9"/>
            <color indexed="81"/>
            <rFont val="Tahoma"/>
            <family val="2"/>
          </rPr>
          <t xml:space="preserve">
BudMod1</t>
        </r>
      </text>
    </comment>
  </commentList>
</comments>
</file>

<file path=xl/sharedStrings.xml><?xml version="1.0" encoding="utf-8"?>
<sst xmlns="http://schemas.openxmlformats.org/spreadsheetml/2006/main" count="826" uniqueCount="258">
  <si>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</si>
  <si>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</si>
  <si>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</si>
  <si>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</si>
  <si>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</si>
  <si>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</si>
  <si>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</si>
  <si>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</si>
  <si>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</si>
  <si>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</si>
  <si>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</si>
  <si>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</si>
  <si>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</si>
  <si>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</si>
  <si>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</si>
  <si>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</si>
  <si>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</si>
  <si>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</si>
  <si>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</si>
  <si>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</si>
  <si>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</si>
  <si>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</si>
  <si>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</si>
  <si>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</si>
  <si>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</si>
  <si>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</si>
  <si>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</si>
  <si>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</si>
  <si>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</si>
  <si>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</si>
  <si>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</si>
  <si>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</si>
  <si>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</si>
  <si>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</si>
  <si>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</si>
  <si>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</si>
  <si>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</si>
  <si>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</si>
  <si>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</si>
  <si>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</si>
  <si>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</si>
  <si>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</si>
  <si>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</si>
  <si>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</si>
  <si>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</si>
  <si>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</si>
  <si>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</si>
  <si>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</si>
  <si>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</si>
  <si>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</si>
  <si>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Care Management</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</si>
  <si>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</si>
  <si>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</si>
  <si>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</si>
  <si>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</si>
  <si>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</si>
  <si>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</si>
  <si>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</si>
  <si>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</si>
  <si>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</si>
  <si>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</si>
  <si>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</si>
  <si>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</si>
  <si>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</si>
  <si>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</si>
  <si>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</si>
  <si>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</si>
  <si>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</si>
  <si>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</si>
  <si>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</si>
  <si>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</si>
  <si>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 FTE to Program</t>
  </si>
  <si>
    <t>Months Per Year</t>
  </si>
  <si>
    <t>Mid-year Agency Variance Report</t>
  </si>
  <si>
    <r>
      <t xml:space="preserve">Mid-year City Follow-up Comments
</t>
    </r>
    <r>
      <rPr>
        <b/>
        <u/>
        <sz val="8"/>
        <color rgb="FFFF0000"/>
        <rFont val="Arial"/>
        <family val="2"/>
      </rPr>
      <t>[DATE]</t>
    </r>
  </si>
  <si>
    <t>Year-end Agency Variance Report</t>
  </si>
  <si>
    <r>
      <t xml:space="preserve">Year-end City Follow-up Comments
</t>
    </r>
    <r>
      <rPr>
        <b/>
        <u/>
        <sz val="8"/>
        <color rgb="FFFF0000"/>
        <rFont val="Arial"/>
        <family val="2"/>
      </rPr>
      <t>[DATE]</t>
    </r>
  </si>
  <si>
    <t>Anat Louis</t>
  </si>
  <si>
    <t>VP of In-Home Services</t>
  </si>
  <si>
    <t>Lisa DeBlois</t>
  </si>
  <si>
    <t>Care Coordinator</t>
  </si>
  <si>
    <t>Grant funding with 09/22 and 10/22 end date</t>
  </si>
  <si>
    <t>Devorah Reznik</t>
  </si>
  <si>
    <t>Andrea Pettett</t>
  </si>
  <si>
    <t>Jenny Melgar</t>
  </si>
  <si>
    <t>Soccaro Garcia</t>
  </si>
  <si>
    <t>Sherilyn Pierce</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</si>
  <si>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</si>
  <si>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</si>
  <si>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</si>
  <si>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</si>
  <si>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</si>
  <si>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 of Gross Salary</t>
  </si>
  <si>
    <t>SUI - .85% based on direct charges</t>
  </si>
  <si>
    <t>Health Benefits - 5% of Gross Salary</t>
  </si>
  <si>
    <t>Retirement Benefits - .5% of Gross Salary</t>
  </si>
  <si>
    <t>1B.  Staff Fringe Benefits TOTAL</t>
  </si>
  <si>
    <t xml:space="preserve">Grant funding for care coordinators with 09/22 and 10/22 end date. Included fringe. </t>
  </si>
  <si>
    <t>2.  Consultant Services</t>
  </si>
  <si>
    <t>List each consultant to be funded. Include type of service, total budgeted expense, and any additional information to suport the use of consultants as opposed to staff or volunteers.</t>
  </si>
  <si>
    <t>Audit Fees - $489.37  /month  (rate 69.91 X 7  FTE =489.37)  X  12 months =$5,872 annuually</t>
  </si>
  <si>
    <t>Fees higher than projected</t>
  </si>
  <si>
    <t>Payroll - $155.75 /month (rate 22.25 X 7 FTE =155.75)  X 12 months = $1,869 annually</t>
  </si>
  <si>
    <t>Contractors General - Contracted IT services to support the program.  $4,020/year ($335/month x 12 months)</t>
  </si>
  <si>
    <t xml:space="preserve">Increased incidents in needing IT support. Also includes clinical supervision contractor for new care coordinators. </t>
  </si>
  <si>
    <t>2.  Consultant Services TOTAL</t>
  </si>
  <si>
    <t>3.  Operating Expenses</t>
  </si>
  <si>
    <t>List all operating expenses [e.g., space/rent expense, utilities, facilitiy maintenance, equipment, insurance, office supplies, printing, audit fees, travel, training, etc.].</t>
  </si>
  <si>
    <t>Occupancy (Facility Fees: Utilities, etc % based on square footage, estimated at $105,000 * .1129)</t>
  </si>
  <si>
    <t>Increased occupancy costs</t>
  </si>
  <si>
    <t>Security -  (% based on square footage, estimated at $57,200 x .1129)</t>
  </si>
  <si>
    <t>Janitorial -   (% based on square footage)</t>
  </si>
  <si>
    <t>Local Travel - based on mileage reimbursement  (2,000 miles @ .625per mile = 1,250)</t>
  </si>
  <si>
    <t>Inflation in travel-related expenses, more in-person visits (vs. virtual)</t>
  </si>
  <si>
    <t xml:space="preserve">Insurance -  $350/month (rate $50 X 7 FTE= $350)   X  12 months = $4,200 annually </t>
  </si>
  <si>
    <t>Inflation in insurance rates</t>
  </si>
  <si>
    <t>Purchase of Service (Medical supplies, property clean up, in home care assistance) -   $54,000Year  ($4,500 /Month  X 12 months)</t>
  </si>
  <si>
    <t>Office Supplies -  $360/Year  ($30/Month x 12 months)</t>
  </si>
  <si>
    <t>Program Supplies -  $240/Year  ($20/Month x 12 months)</t>
  </si>
  <si>
    <t>Telephone -$373.73/Month (rate $53.39 X 7 FTE = $373.73)  X  12 months = $4,485 annually</t>
  </si>
  <si>
    <t>Postage &amp; Shipping - $300/Year    ($25/ Month  x 12 months)</t>
  </si>
  <si>
    <t>Copier Costs - $300/Year   ($25/Month  x 12 months)</t>
  </si>
  <si>
    <t xml:space="preserve">Increase in programming within care management (e.g., stress mgmt, decluttering) and increase in staff. </t>
  </si>
  <si>
    <t>Staff Training - $1,200/Year (Staff &amp; Peer Counselor Volunteers)</t>
  </si>
  <si>
    <t>Publications &amp; Subscriptions -$2,100/Year   ($175 /Month X 12 months)</t>
  </si>
  <si>
    <t>Membership Dues</t>
  </si>
  <si>
    <t>Volunteer Stipends</t>
  </si>
  <si>
    <t>Hiring Fees -  $1,500/Year  ($125.00/Month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</si>
  <si>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</si>
  <si>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</si>
  <si>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</si>
  <si>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</si>
  <si>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</si>
  <si>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</si>
  <si>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</si>
  <si>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</si>
  <si>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</si>
  <si>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</si>
  <si>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</si>
  <si>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</si>
  <si>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</si>
  <si>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</si>
  <si>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</si>
  <si>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</si>
  <si>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</si>
  <si>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</si>
  <si>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</si>
  <si>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</si>
  <si>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</si>
  <si>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</si>
  <si>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</si>
  <si>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</si>
  <si>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</si>
  <si>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</si>
  <si>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County of Los Angeles - SSP</t>
  </si>
  <si>
    <t>County of Los Angeles - Linkages</t>
  </si>
  <si>
    <t>2.  Private/Corporate Grants</t>
  </si>
  <si>
    <t>3.  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</si>
  <si>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</si>
  <si>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</si>
  <si>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</si>
  <si>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</si>
  <si>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</si>
  <si>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</si>
  <si>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</si>
  <si>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125-100</t>
  </si>
  <si>
    <t>125-152</t>
  </si>
  <si>
    <t>125-275</t>
  </si>
  <si>
    <t>125-276</t>
  </si>
  <si>
    <t>125-285</t>
  </si>
  <si>
    <t>125-500</t>
  </si>
  <si>
    <t>125-915</t>
  </si>
  <si>
    <t>125-962</t>
  </si>
  <si>
    <t>Total</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</si>
  <si>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</si>
  <si>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</si>
  <si>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</si>
  <si>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</si>
  <si>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</si>
  <si>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</si>
  <si>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</si>
  <si>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</si>
  <si>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</si>
  <si>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</si>
  <si>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</si>
  <si>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</si>
  <si>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</si>
  <si>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</si>
  <si>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</si>
  <si>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</si>
  <si>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</si>
  <si>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</si>
  <si>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</si>
  <si>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</si>
  <si>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</si>
  <si>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</si>
  <si>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</si>
  <si>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</si>
  <si>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</si>
  <si>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</si>
  <si>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</si>
  <si>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</si>
  <si>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</si>
  <si>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</si>
  <si>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</si>
  <si>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</si>
  <si>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</si>
  <si>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</si>
  <si>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</si>
  <si>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</si>
  <si>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</si>
  <si>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</si>
  <si>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</si>
  <si>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</si>
  <si>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</si>
  <si>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</si>
  <si>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</si>
  <si>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</si>
  <si>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</si>
  <si>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</si>
  <si>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</si>
  <si>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</si>
  <si>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</si>
  <si>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</si>
  <si>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</si>
  <si>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</si>
  <si>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</si>
  <si>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</si>
  <si>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</si>
  <si>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</si>
  <si>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</si>
  <si>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</si>
  <si>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</si>
  <si>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</si>
  <si>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</si>
  <si>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</si>
  <si>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</si>
  <si>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</si>
  <si>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</si>
  <si>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</si>
  <si>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</si>
  <si>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</si>
  <si>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</si>
  <si>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City </t>
  </si>
  <si>
    <t>City of Los Angeles</t>
  </si>
  <si>
    <t>County</t>
  </si>
  <si>
    <t>County of Los Angeles</t>
  </si>
  <si>
    <t xml:space="preserve">Federal </t>
  </si>
  <si>
    <t>DHHS  (ACL)</t>
  </si>
  <si>
    <t>CALOES</t>
  </si>
  <si>
    <t>Gogian Foundation</t>
  </si>
  <si>
    <t>Kaiser Foundation</t>
  </si>
  <si>
    <t>Parson's</t>
  </si>
  <si>
    <t>St. John's / Providence</t>
  </si>
  <si>
    <t>Contributions</t>
  </si>
  <si>
    <t>Program Income ADSC</t>
  </si>
  <si>
    <t>Program Income Other</t>
  </si>
  <si>
    <t>Program Income Care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</si>
</sst>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41"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sz val="8"/>
      <color rgb="FFFF0000"/>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9"/>
      <color indexed="81"/>
      <name val="Tahoma"/>
      <family val="2"/>
    </font>
    <font>
      <b/>
      <sz val="9"/>
      <color indexed="81"/>
      <name val="Tahoma"/>
      <family val="2"/>
    </font>
    <font>
      <b/>
      <sz val="12"/>
      <name val="Arial Black"/>
      <family val="2"/>
    </font>
    <font>
      <sz val="12"/>
      <name val="Arial Black"/>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471">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lignment horizontal="center"/>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3" xfId="3" applyFont="1" applyFill="1" applyBorder="1" applyAlignment="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lignment horizontal="center"/>
    </xf>
    <xf numFmtId="0" fontId="1" fillId="4" borderId="10" xfId="3" applyFill="1" applyBorder="1"/>
    <xf numFmtId="0" fontId="2" fillId="4" borderId="10" xfId="3" applyFont="1" applyFill="1" applyBorder="1"/>
    <xf numFmtId="0" fontId="2" fillId="4" borderId="11" xfId="3" applyFont="1" applyFill="1" applyBorder="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Alignment="1">
      <alignment horizontal="center"/>
    </xf>
    <xf numFmtId="0" fontId="2" fillId="4" borderId="11" xfId="3" applyFont="1" applyFill="1" applyBorder="1" applyAlignment="1">
      <alignment wrapText="1"/>
    </xf>
    <xf numFmtId="0" fontId="2" fillId="5" borderId="1" xfId="3" applyFont="1" applyFill="1" applyBorder="1"/>
    <xf numFmtId="0" fontId="2" fillId="5" borderId="2" xfId="3" applyFont="1" applyFill="1" applyBorder="1"/>
    <xf numFmtId="0" fontId="2" fillId="5" borderId="3" xfId="3" applyFont="1" applyFill="1" applyBorder="1"/>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xf numFmtId="0" fontId="2" fillId="0" borderId="8" xfId="3" applyFont="1" applyBorder="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0" fontId="1" fillId="0" borderId="0" xfId="3" applyAlignment="1">
      <alignment horizontal="left" vertical="top" wrapText="1"/>
    </xf>
    <xf numFmtId="9" fontId="1" fillId="0" borderId="21" xfId="5" applyFont="1" applyFill="1" applyBorder="1" applyAlignment="1" applyProtection="1">
      <alignment horizontal="center"/>
    </xf>
    <xf numFmtId="0" fontId="8" fillId="0" borderId="0" xfId="3" applyFont="1" applyAlignment="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Alignment="1">
      <alignment textRotation="90"/>
    </xf>
    <xf numFmtId="0" fontId="15" fillId="0" borderId="0" xfId="3" applyFont="1" applyAlignment="1">
      <alignment horizontal="center"/>
    </xf>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Border="1"/>
    <xf numFmtId="0" fontId="11" fillId="0" borderId="8" xfId="3" applyFont="1" applyBorder="1" applyAlignment="1">
      <alignment wrapText="1"/>
    </xf>
    <xf numFmtId="0" fontId="11" fillId="0" borderId="0" xfId="3" applyFont="1" applyAlignment="1">
      <alignment wrapText="1"/>
    </xf>
    <xf numFmtId="0" fontId="11" fillId="0" borderId="0" xfId="3" applyFont="1" applyAlignment="1">
      <alignment horizontal="center" wrapText="1"/>
    </xf>
    <xf numFmtId="0" fontId="1" fillId="0" borderId="6" xfId="3" applyBorder="1"/>
    <xf numFmtId="0" fontId="2" fillId="4" borderId="24" xfId="3" applyFont="1" applyFill="1" applyBorder="1" applyAlignment="1">
      <alignment horizontal="center"/>
    </xf>
    <xf numFmtId="9" fontId="2" fillId="4" borderId="24" xfId="5" applyFont="1" applyFill="1" applyBorder="1" applyAlignment="1" applyProtection="1">
      <alignment horizontal="center"/>
    </xf>
    <xf numFmtId="0" fontId="12" fillId="4" borderId="8" xfId="3" applyFont="1" applyFill="1" applyBorder="1"/>
    <xf numFmtId="0" fontId="12" fillId="4" borderId="0" xfId="3" applyFont="1" applyFill="1" applyAlignment="1">
      <alignment wrapText="1"/>
    </xf>
    <xf numFmtId="0" fontId="12" fillId="4" borderId="0" xfId="3" applyFont="1" applyFill="1"/>
    <xf numFmtId="0" fontId="12" fillId="4" borderId="7" xfId="3" applyFont="1" applyFill="1" applyBorder="1"/>
    <xf numFmtId="0" fontId="12" fillId="0" borderId="0" xfId="3" applyFont="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7" fillId="4" borderId="0" xfId="3" applyFont="1" applyFill="1"/>
    <xf numFmtId="0" fontId="13" fillId="0" borderId="0" xfId="3" applyFont="1"/>
    <xf numFmtId="164" fontId="4" fillId="3" borderId="0" xfId="2" applyNumberFormat="1" applyFont="1" applyFill="1" applyBorder="1" applyAlignment="1" applyProtection="1">
      <alignment horizontal="center"/>
    </xf>
    <xf numFmtId="0" fontId="7" fillId="4" borderId="8" xfId="3" applyFont="1" applyFill="1" applyBorder="1" applyAlignment="1">
      <alignment horizontal="left" indent="1"/>
    </xf>
    <xf numFmtId="0" fontId="1" fillId="0" borderId="10" xfId="3" applyBorder="1"/>
    <xf numFmtId="9" fontId="2" fillId="0" borderId="0" xfId="5" applyFont="1" applyFill="1" applyBorder="1" applyAlignment="1" applyProtection="1">
      <alignment horizontal="center"/>
    </xf>
    <xf numFmtId="49" fontId="1" fillId="0" borderId="0" xfId="3" applyNumberFormat="1"/>
    <xf numFmtId="49" fontId="12" fillId="0" borderId="0" xfId="3" applyNumberFormat="1"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49" fontId="2" fillId="0" borderId="0" xfId="3" applyNumberFormat="1" applyFont="1" applyAlignment="1">
      <alignment horizontal="center"/>
    </xf>
    <xf numFmtId="49" fontId="8" fillId="0" borderId="0" xfId="3" applyNumberFormat="1" applyFont="1" applyAlignment="1">
      <alignment horizontal="center" vertical="center" wrapText="1"/>
    </xf>
    <xf numFmtId="49" fontId="1" fillId="0" borderId="0" xfId="3" applyNumberFormat="1" applyAlignment="1">
      <alignment horizontal="left" vertical="center" wrapText="1"/>
    </xf>
    <xf numFmtId="49" fontId="12" fillId="0" borderId="0" xfId="3" applyNumberFormat="1" applyFont="1" applyAlignment="1">
      <alignment horizontal="left" vertical="center" wrapText="1"/>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0" fontId="17" fillId="0" borderId="0" xfId="3" applyFont="1" applyAlignment="1">
      <alignment horizontal="left" vertical="top" wrapText="1"/>
    </xf>
    <xf numFmtId="169" fontId="17" fillId="0" borderId="0" xfId="3" applyNumberFormat="1" applyFont="1" applyAlignment="1">
      <alignment horizontal="left" vertical="top" wrapText="1"/>
    </xf>
    <xf numFmtId="41" fontId="5" fillId="5" borderId="11" xfId="3" applyNumberFormat="1" applyFont="1" applyFill="1" applyBorder="1" applyAlignment="1">
      <alignment horizontal="center"/>
    </xf>
    <xf numFmtId="41" fontId="20"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0" fontId="1" fillId="0" borderId="38" xfId="3" applyBorder="1"/>
    <xf numFmtId="0" fontId="2" fillId="4" borderId="32" xfId="3" applyFont="1" applyFill="1" applyBorder="1" applyAlignment="1">
      <alignment wrapText="1"/>
    </xf>
    <xf numFmtId="0" fontId="2" fillId="4" borderId="33" xfId="3" applyFont="1" applyFill="1" applyBorder="1"/>
    <xf numFmtId="0" fontId="1" fillId="4" borderId="33" xfId="3" applyFill="1" applyBorder="1"/>
    <xf numFmtId="0" fontId="7" fillId="4" borderId="33" xfId="3" applyFont="1" applyFill="1" applyBorder="1" applyAlignment="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Border="1"/>
    <xf numFmtId="0" fontId="2" fillId="4" borderId="41" xfId="3" applyFont="1" applyFill="1" applyBorder="1" applyAlignment="1">
      <alignment horizontal="left"/>
    </xf>
    <xf numFmtId="0" fontId="2" fillId="4" borderId="42" xfId="3" applyFont="1" applyFill="1" applyBorder="1" applyAlignment="1">
      <alignment horizontal="right"/>
    </xf>
    <xf numFmtId="0" fontId="2" fillId="4" borderId="42" xfId="3" applyFont="1" applyFill="1" applyBorder="1" applyAlignment="1">
      <alignment horizontal="center"/>
    </xf>
    <xf numFmtId="9" fontId="2" fillId="4" borderId="42" xfId="5" applyFont="1" applyFill="1" applyBorder="1" applyAlignment="1" applyProtection="1">
      <alignment horizontal="center"/>
    </xf>
    <xf numFmtId="0" fontId="1" fillId="0" borderId="8" xfId="3" applyBorder="1"/>
    <xf numFmtId="0" fontId="2" fillId="0" borderId="6" xfId="3" applyFont="1" applyBorder="1"/>
    <xf numFmtId="0" fontId="2" fillId="0" borderId="5" xfId="3" applyFont="1" applyBorder="1"/>
    <xf numFmtId="0" fontId="1" fillId="0" borderId="11" xfId="3" applyBorder="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49" fontId="1" fillId="6" borderId="26" xfId="2" applyNumberFormat="1" applyFont="1" applyFill="1" applyBorder="1" applyAlignment="1" applyProtection="1">
      <alignment horizontal="left" vertical="center" wrapText="1"/>
      <protection locked="0"/>
    </xf>
    <xf numFmtId="49" fontId="1" fillId="0" borderId="26" xfId="2" applyNumberFormat="1" applyFont="1" applyFill="1" applyBorder="1" applyAlignment="1" applyProtection="1">
      <alignment horizontal="left" vertical="center" wrapText="1"/>
    </xf>
    <xf numFmtId="49" fontId="1" fillId="0" borderId="21" xfId="2" applyNumberFormat="1" applyFont="1" applyFill="1" applyBorder="1" applyAlignment="1" applyProtection="1">
      <alignment horizontal="left" vertical="center" wrapText="1"/>
    </xf>
    <xf numFmtId="0" fontId="12" fillId="12" borderId="12" xfId="3" applyFont="1" applyFill="1" applyBorder="1" applyProtection="1">
      <protection locked="0"/>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8" fillId="0" borderId="10" xfId="3" applyFont="1" applyBorder="1" applyAlignment="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Border="1"/>
    <xf numFmtId="0" fontId="1" fillId="0" borderId="4" xfId="3" applyBorder="1"/>
    <xf numFmtId="9" fontId="7" fillId="0" borderId="0" xfId="5" applyFont="1" applyFill="1" applyBorder="1" applyAlignment="1" applyProtection="1">
      <alignment horizontal="center" wrapText="1"/>
    </xf>
    <xf numFmtId="0" fontId="8" fillId="0" borderId="35" xfId="3" applyFont="1" applyBorder="1" applyAlignment="1">
      <alignment wrapText="1"/>
    </xf>
    <xf numFmtId="0" fontId="8" fillId="0" borderId="0" xfId="3" applyFont="1" applyAlignment="1">
      <alignment wrapText="1"/>
    </xf>
    <xf numFmtId="0" fontId="2" fillId="0" borderId="10" xfId="3" applyFont="1" applyBorder="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3" xfId="3" applyFont="1" applyFill="1" applyBorder="1" applyAlignment="1">
      <alignment horizontal="left"/>
    </xf>
    <xf numFmtId="0" fontId="2" fillId="4" borderId="17" xfId="3" applyFont="1" applyFill="1" applyBorder="1" applyAlignment="1">
      <alignment horizontal="right"/>
    </xf>
    <xf numFmtId="0" fontId="2" fillId="4" borderId="17" xfId="3" applyFont="1" applyFill="1" applyBorder="1" applyAlignment="1">
      <alignment horizontal="center"/>
    </xf>
    <xf numFmtId="9" fontId="2" fillId="4" borderId="17" xfId="5" applyFont="1" applyFill="1" applyBorder="1" applyAlignment="1" applyProtection="1">
      <alignment horizontal="center"/>
    </xf>
    <xf numFmtId="42" fontId="1" fillId="6" borderId="21" xfId="2" applyNumberFormat="1" applyFont="1" applyFill="1" applyBorder="1" applyProtection="1">
      <protection locked="0"/>
    </xf>
    <xf numFmtId="42" fontId="1" fillId="0" borderId="21" xfId="3" applyNumberFormat="1" applyBorder="1"/>
    <xf numFmtId="42" fontId="2" fillId="4" borderId="42" xfId="2" applyNumberFormat="1" applyFont="1" applyFill="1" applyBorder="1" applyProtection="1"/>
    <xf numFmtId="42" fontId="1" fillId="6" borderId="36" xfId="3" applyNumberFormat="1" applyFill="1" applyBorder="1" applyProtection="1">
      <protection locked="0"/>
    </xf>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6" borderId="19" xfId="2" applyNumberFormat="1" applyFont="1" applyFill="1" applyBorder="1" applyProtection="1">
      <protection locked="0"/>
    </xf>
    <xf numFmtId="42" fontId="1" fillId="0" borderId="19" xfId="2" applyNumberFormat="1" applyFont="1" applyFill="1" applyBorder="1" applyProtection="1"/>
    <xf numFmtId="42" fontId="2" fillId="4" borderId="24" xfId="2" applyNumberFormat="1" applyFont="1" applyFill="1" applyBorder="1" applyProtection="1"/>
    <xf numFmtId="42" fontId="1" fillId="6" borderId="23" xfId="2" applyNumberFormat="1" applyFont="1" applyFill="1" applyBorder="1" applyProtection="1">
      <protection locked="0"/>
    </xf>
    <xf numFmtId="42" fontId="1" fillId="6" borderId="28" xfId="2" applyNumberFormat="1" applyFont="1" applyFill="1" applyBorder="1" applyProtection="1">
      <protection locked="0"/>
    </xf>
    <xf numFmtId="42" fontId="2" fillId="4" borderId="25" xfId="2" applyNumberFormat="1" applyFont="1" applyFill="1" applyBorder="1" applyProtection="1"/>
    <xf numFmtId="42" fontId="1" fillId="6" borderId="22" xfId="2" applyNumberFormat="1" applyFont="1" applyFill="1" applyBorder="1" applyProtection="1">
      <protection locked="0"/>
    </xf>
    <xf numFmtId="42" fontId="1" fillId="0" borderId="22" xfId="2" applyNumberFormat="1" applyFont="1" applyFill="1" applyBorder="1" applyProtection="1"/>
    <xf numFmtId="42" fontId="2" fillId="4" borderId="17" xfId="2" applyNumberFormat="1" applyFont="1" applyFill="1" applyBorder="1" applyProtection="1"/>
    <xf numFmtId="42" fontId="1" fillId="6" borderId="27" xfId="2" applyNumberFormat="1" applyFont="1" applyFill="1" applyBorder="1" applyProtection="1">
      <protection locked="0"/>
    </xf>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0" fontId="1" fillId="0" borderId="0" xfId="3" applyAlignment="1">
      <alignment horizontal="left" indent="1"/>
    </xf>
    <xf numFmtId="0" fontId="2" fillId="0" borderId="0" xfId="3" applyFont="1" applyAlignment="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2" fillId="0" borderId="8" xfId="3" applyFont="1" applyBorder="1" applyAlignment="1">
      <alignment horizontal="left"/>
    </xf>
    <xf numFmtId="42" fontId="1" fillId="0" borderId="12" xfId="2" applyNumberFormat="1" applyFont="1" applyFill="1" applyBorder="1" applyProtection="1"/>
    <xf numFmtId="0" fontId="12" fillId="4" borderId="35" xfId="3" applyFont="1" applyFill="1" applyBorder="1"/>
    <xf numFmtId="0" fontId="3" fillId="4" borderId="11" xfId="3" applyFont="1" applyFill="1" applyBorder="1"/>
    <xf numFmtId="0" fontId="2" fillId="4" borderId="9" xfId="3" applyFont="1" applyFill="1" applyBorder="1"/>
    <xf numFmtId="0" fontId="4" fillId="4" borderId="8" xfId="3" applyFont="1" applyFill="1" applyBorder="1"/>
    <xf numFmtId="0" fontId="2" fillId="4" borderId="0" xfId="3" applyFont="1" applyFill="1"/>
    <xf numFmtId="0" fontId="2" fillId="4" borderId="7" xfId="3" applyFont="1" applyFill="1" applyBorder="1"/>
    <xf numFmtId="0" fontId="14" fillId="0" borderId="8" xfId="3" applyFont="1" applyBorder="1"/>
    <xf numFmtId="0" fontId="14" fillId="0" borderId="0" xfId="3" applyFont="1"/>
    <xf numFmtId="0" fontId="7" fillId="0" borderId="0" xfId="3" applyFont="1" applyAlignment="1">
      <alignment horizontal="center" wrapText="1"/>
    </xf>
    <xf numFmtId="0" fontId="7" fillId="0" borderId="7" xfId="3" applyFont="1" applyBorder="1" applyAlignment="1">
      <alignment horizontal="center" wrapText="1"/>
    </xf>
    <xf numFmtId="0" fontId="1" fillId="0" borderId="29" xfId="0" applyFont="1" applyBorder="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xf numFmtId="0" fontId="3" fillId="0" borderId="6" xfId="3" applyFont="1" applyBorder="1"/>
    <xf numFmtId="0" fontId="3" fillId="4" borderId="16" xfId="3" applyFont="1" applyFill="1" applyBorder="1" applyAlignment="1">
      <alignment horizontal="left"/>
    </xf>
    <xf numFmtId="0" fontId="3" fillId="4" borderId="17" xfId="3" applyFont="1" applyFill="1" applyBorder="1"/>
    <xf numFmtId="0" fontId="2" fillId="0" borderId="11" xfId="3" applyFont="1" applyBorder="1"/>
    <xf numFmtId="49" fontId="2" fillId="0" borderId="10" xfId="3" applyNumberFormat="1" applyFont="1" applyBorder="1"/>
    <xf numFmtId="49" fontId="2" fillId="0" borderId="5" xfId="3" applyNumberFormat="1" applyFont="1" applyBorder="1"/>
    <xf numFmtId="49" fontId="2" fillId="12" borderId="12" xfId="3" applyNumberFormat="1" applyFont="1" applyFill="1" applyBorder="1"/>
    <xf numFmtId="49" fontId="2" fillId="12" borderId="15" xfId="3" applyNumberFormat="1" applyFont="1" applyFill="1" applyBorder="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8"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1" fillId="0" borderId="0" xfId="3" applyFont="1" applyAlignment="1">
      <alignment horizontal="center" wrapText="1"/>
    </xf>
    <xf numFmtId="0" fontId="17" fillId="0" borderId="0" xfId="3" applyFont="1" applyAlignment="1">
      <alignment horizontal="center" wrapText="1"/>
    </xf>
    <xf numFmtId="0" fontId="31" fillId="0" borderId="0" xfId="3" applyFont="1"/>
    <xf numFmtId="164" fontId="31" fillId="0" borderId="0" xfId="2" applyNumberFormat="1" applyFont="1" applyBorder="1" applyAlignment="1" applyProtection="1">
      <alignment horizontal="center" wrapText="1"/>
    </xf>
    <xf numFmtId="0" fontId="30"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8" xfId="3" applyFont="1" applyBorder="1"/>
    <xf numFmtId="0" fontId="1" fillId="0" borderId="0" xfId="3" applyAlignment="1">
      <alignment wrapText="1"/>
    </xf>
    <xf numFmtId="0" fontId="1" fillId="0" borderId="48" xfId="3" applyBorder="1"/>
    <xf numFmtId="0" fontId="1" fillId="0" borderId="0" xfId="3" applyAlignment="1">
      <alignment horizontal="left" wrapText="1"/>
    </xf>
    <xf numFmtId="42" fontId="4" fillId="12" borderId="12" xfId="2" applyNumberFormat="1" applyFont="1" applyFill="1" applyBorder="1" applyAlignment="1" applyProtection="1"/>
    <xf numFmtId="0" fontId="33" fillId="0" borderId="0" xfId="3" applyFont="1"/>
    <xf numFmtId="0" fontId="34" fillId="0" borderId="0" xfId="3" applyFont="1"/>
    <xf numFmtId="0" fontId="35" fillId="0" borderId="0" xfId="3" applyFont="1" applyAlignment="1">
      <alignment horizontal="center"/>
    </xf>
    <xf numFmtId="0" fontId="36" fillId="9" borderId="18" xfId="3" applyFont="1" applyFill="1" applyBorder="1" applyAlignment="1">
      <alignment horizontal="center" vertical="center" wrapText="1"/>
    </xf>
    <xf numFmtId="0" fontId="36" fillId="9" borderId="1" xfId="3" applyFont="1" applyFill="1" applyBorder="1" applyAlignment="1">
      <alignment horizontal="center" vertical="center" wrapText="1"/>
    </xf>
    <xf numFmtId="49" fontId="1" fillId="12" borderId="40" xfId="0" applyNumberFormat="1" applyFont="1" applyFill="1" applyBorder="1" applyAlignment="1">
      <alignment horizontal="left" vertical="top"/>
    </xf>
    <xf numFmtId="49" fontId="1" fillId="12" borderId="21" xfId="0" applyNumberFormat="1" applyFont="1" applyFill="1" applyBorder="1" applyAlignment="1">
      <alignment horizontal="left" vertical="top"/>
    </xf>
    <xf numFmtId="49" fontId="1" fillId="12" borderId="21" xfId="0" applyNumberFormat="1" applyFont="1" applyFill="1" applyBorder="1" applyAlignment="1">
      <alignment horizontal="center" vertical="top" shrinkToFit="1"/>
    </xf>
    <xf numFmtId="170" fontId="1" fillId="12" borderId="21" xfId="0" applyNumberFormat="1" applyFont="1" applyFill="1" applyBorder="1" applyAlignment="1">
      <alignment horizontal="center" vertical="top" shrinkToFit="1"/>
    </xf>
    <xf numFmtId="9" fontId="1" fillId="12" borderId="21" xfId="0" applyNumberFormat="1" applyFont="1" applyFill="1" applyBorder="1" applyAlignment="1">
      <alignment horizontal="center" vertical="top" shrinkToFit="1"/>
    </xf>
    <xf numFmtId="1" fontId="1" fillId="12" borderId="21" xfId="0" applyNumberFormat="1" applyFont="1" applyFill="1" applyBorder="1" applyAlignment="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lignment horizontal="center" vertical="top" shrinkToFit="1"/>
    </xf>
    <xf numFmtId="9" fontId="1" fillId="12" borderId="22" xfId="0" applyNumberFormat="1" applyFont="1" applyFill="1" applyBorder="1" applyAlignment="1">
      <alignment horizontal="center" vertical="top" shrinkToFit="1"/>
    </xf>
    <xf numFmtId="1" fontId="1" fillId="12" borderId="22" xfId="0" applyNumberFormat="1" applyFont="1" applyFill="1" applyBorder="1" applyAlignment="1">
      <alignment horizontal="center" vertical="top" shrinkToFit="1"/>
    </xf>
    <xf numFmtId="170" fontId="1" fillId="12" borderId="22" xfId="0" applyNumberFormat="1" applyFont="1" applyFill="1" applyBorder="1" applyAlignment="1">
      <alignment horizontal="center" vertical="top" shrinkToFit="1"/>
    </xf>
    <xf numFmtId="49" fontId="1" fillId="12" borderId="20" xfId="0" applyNumberFormat="1" applyFont="1" applyFill="1" applyBorder="1" applyAlignment="1">
      <alignment horizontal="left" vertical="top"/>
    </xf>
    <xf numFmtId="49" fontId="1" fillId="12" borderId="44" xfId="0" applyNumberFormat="1" applyFont="1" applyFill="1" applyBorder="1" applyAlignment="1">
      <alignment horizontal="left" vertical="top" shrinkToFit="1"/>
    </xf>
    <xf numFmtId="49" fontId="1" fillId="12" borderId="44" xfId="3" applyNumberFormat="1" applyFill="1" applyBorder="1" applyAlignment="1">
      <alignment horizontal="left" vertical="top" wrapText="1"/>
    </xf>
    <xf numFmtId="10" fontId="1" fillId="12" borderId="26" xfId="5"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ill="1" applyBorder="1" applyAlignment="1">
      <alignment horizontal="left" vertical="top"/>
    </xf>
    <xf numFmtId="49" fontId="1" fillId="12" borderId="44" xfId="5" applyNumberFormat="1" applyFont="1" applyFill="1" applyBorder="1" applyAlignment="1" applyProtection="1">
      <alignment horizontal="left" vertical="top" wrapText="1"/>
    </xf>
    <xf numFmtId="49" fontId="1" fillId="12" borderId="26" xfId="3" applyNumberFormat="1" applyFill="1" applyBorder="1" applyAlignment="1">
      <alignment horizontal="left" vertical="top" wrapText="1"/>
    </xf>
    <xf numFmtId="49" fontId="1" fillId="12" borderId="50" xfId="0" applyNumberFormat="1" applyFont="1" applyFill="1" applyBorder="1" applyAlignment="1">
      <alignment horizontal="left" vertical="top"/>
    </xf>
    <xf numFmtId="49" fontId="1" fillId="12" borderId="51" xfId="0" applyNumberFormat="1" applyFont="1" applyFill="1" applyBorder="1" applyAlignment="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ill="1" applyBorder="1" applyAlignment="1">
      <alignment horizontal="left" vertical="top" wrapText="1"/>
    </xf>
    <xf numFmtId="49" fontId="1" fillId="12" borderId="52" xfId="3" applyNumberFormat="1" applyFill="1" applyBorder="1" applyAlignment="1">
      <alignment horizontal="left" vertical="top" wrapText="1"/>
    </xf>
    <xf numFmtId="49" fontId="1" fillId="12" borderId="50" xfId="3" applyNumberFormat="1" applyFill="1" applyBorder="1" applyAlignment="1">
      <alignment horizontal="left" vertical="top"/>
    </xf>
    <xf numFmtId="49" fontId="17" fillId="12" borderId="50" xfId="3" applyNumberFormat="1" applyFont="1" applyFill="1" applyBorder="1" applyAlignment="1">
      <alignment horizontal="left" vertical="top"/>
    </xf>
    <xf numFmtId="49" fontId="1" fillId="12" borderId="50" xfId="3" applyNumberFormat="1" applyFill="1" applyBorder="1" applyAlignment="1">
      <alignment horizontal="left" vertical="top" wrapText="1"/>
    </xf>
    <xf numFmtId="49" fontId="1" fillId="12" borderId="54" xfId="5" applyNumberFormat="1" applyFont="1" applyFill="1" applyBorder="1" applyAlignment="1" applyProtection="1">
      <alignment horizontal="left" vertical="top" wrapText="1"/>
    </xf>
    <xf numFmtId="49" fontId="1" fillId="12" borderId="54" xfId="3" applyNumberFormat="1" applyFill="1" applyBorder="1" applyAlignment="1">
      <alignment horizontal="left" vertical="top" wrapText="1"/>
    </xf>
    <xf numFmtId="49" fontId="1" fillId="12" borderId="55" xfId="3" applyNumberFormat="1" applyFill="1" applyBorder="1" applyAlignment="1">
      <alignment horizontal="left" vertical="top" wrapText="1"/>
    </xf>
    <xf numFmtId="164" fontId="1" fillId="12" borderId="22" xfId="2" applyNumberFormat="1" applyFont="1" applyFill="1" applyBorder="1" applyProtection="1"/>
    <xf numFmtId="49" fontId="1" fillId="12" borderId="56" xfId="0" applyNumberFormat="1" applyFont="1" applyFill="1" applyBorder="1" applyAlignment="1">
      <alignment horizontal="left" vertical="top" shrinkToFit="1"/>
    </xf>
    <xf numFmtId="49" fontId="1" fillId="12" borderId="57" xfId="0" applyNumberFormat="1" applyFont="1" applyFill="1" applyBorder="1" applyAlignment="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ill="1" applyBorder="1" applyAlignment="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xf numFmtId="0" fontId="1" fillId="12" borderId="26" xfId="2" applyNumberFormat="1" applyFont="1" applyFill="1" applyBorder="1" applyProtection="1"/>
    <xf numFmtId="42" fontId="3" fillId="12" borderId="12" xfId="3" applyNumberFormat="1" applyFont="1" applyFill="1" applyBorder="1"/>
    <xf numFmtId="0" fontId="1" fillId="12" borderId="12" xfId="3" applyFill="1" applyBorder="1"/>
    <xf numFmtId="42" fontId="17" fillId="6" borderId="21" xfId="2" applyNumberFormat="1" applyFont="1" applyFill="1" applyBorder="1" applyProtection="1">
      <protection locked="0"/>
    </xf>
    <xf numFmtId="0" fontId="28" fillId="0" borderId="0" xfId="3" applyFont="1"/>
    <xf numFmtId="0" fontId="28" fillId="0" borderId="0" xfId="3" applyFont="1" applyAlignment="1">
      <alignment horizontal="center"/>
    </xf>
    <xf numFmtId="43" fontId="28" fillId="0" borderId="0" xfId="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1" fillId="0" borderId="0" xfId="3" applyAlignment="1">
      <alignment horizontal="center"/>
    </xf>
    <xf numFmtId="43" fontId="1" fillId="0" borderId="0" xfId="1" applyFont="1" applyFill="1" applyBorder="1" applyProtection="1"/>
    <xf numFmtId="0" fontId="39" fillId="0" borderId="0" xfId="3" applyFont="1" applyAlignment="1">
      <alignment horizontal="center"/>
    </xf>
    <xf numFmtId="0" fontId="39" fillId="0" borderId="0" xfId="3" applyFont="1"/>
    <xf numFmtId="0" fontId="40" fillId="0" borderId="0" xfId="3" applyFont="1"/>
    <xf numFmtId="43" fontId="39" fillId="0" borderId="0" xfId="1" applyFont="1" applyFill="1" applyBorder="1" applyProtection="1"/>
    <xf numFmtId="43" fontId="40" fillId="0" borderId="0" xfId="1" applyFont="1" applyFill="1" applyBorder="1" applyProtection="1"/>
    <xf numFmtId="0" fontId="40" fillId="0" borderId="0" xfId="3" applyFont="1" applyAlignment="1">
      <alignment horizontal="center"/>
    </xf>
    <xf numFmtId="43" fontId="40" fillId="0" borderId="0" xfId="3" applyNumberFormat="1" applyFont="1"/>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3" fillId="0" borderId="0" xfId="3" applyFont="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4" borderId="14" xfId="3" applyFont="1" applyFill="1" applyBorder="1" applyAlignment="1" applyProtection="1">
      <alignment horizontal="left" vertical="center" wrapText="1"/>
    </xf>
    <xf numFmtId="0" fontId="21"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2" fillId="0" borderId="14" xfId="3" applyFont="1" applyBorder="1" applyAlignment="1" applyProtection="1">
      <alignment horizontal="right" vertical="center"/>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0" fontId="22" fillId="0" borderId="14" xfId="3" quotePrefix="1" applyFont="1" applyBorder="1" applyAlignment="1" applyProtection="1">
      <alignment horizontal="right" vertical="center"/>
    </xf>
    <xf numFmtId="1" fontId="22" fillId="6" borderId="14" xfId="3" quotePrefix="1" applyNumberFormat="1" applyFont="1" applyFill="1" applyBorder="1" applyAlignment="1" applyProtection="1">
      <alignment vertical="center" wrapText="1"/>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4" borderId="4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0" fontId="4" fillId="0" borderId="0" xfId="3" applyFont="1" applyAlignment="1" applyProtection="1">
      <alignment horizontal="center" vertical="center"/>
    </xf>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0" fontId="1" fillId="0" borderId="37" xfId="3" applyBorder="1" applyProtection="1"/>
    <xf numFmtId="0" fontId="1" fillId="0" borderId="38" xfId="3"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ill="1" applyBorder="1" applyAlignment="1" applyProtection="1">
      <alignment horizontal="left" vertical="top" wrapText="1"/>
    </xf>
    <xf numFmtId="0" fontId="1" fillId="0" borderId="0" xfId="3" applyAlignment="1" applyProtection="1">
      <alignment horizontal="left" vertical="top" wrapText="1"/>
    </xf>
    <xf numFmtId="49" fontId="1" fillId="12" borderId="20" xfId="3" applyNumberFormat="1" applyFill="1" applyBorder="1" applyAlignment="1" applyProtection="1">
      <alignment horizontal="left" vertical="top"/>
    </xf>
    <xf numFmtId="49" fontId="1" fillId="12" borderId="26" xfId="3" applyNumberFormat="1" applyFill="1" applyBorder="1" applyAlignment="1" applyProtection="1">
      <alignment horizontal="left" vertical="top" wrapText="1"/>
    </xf>
    <xf numFmtId="42" fontId="1" fillId="6" borderId="28" xfId="2" applyNumberFormat="1"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3" applyNumberFormat="1" applyFill="1" applyBorder="1" applyAlignment="1" applyProtection="1">
      <alignment horizontal="left" vertical="top" wrapText="1"/>
    </xf>
    <xf numFmtId="49" fontId="1" fillId="12" borderId="52" xfId="3" applyNumberFormat="1" applyFill="1" applyBorder="1" applyAlignment="1" applyProtection="1">
      <alignment horizontal="left" vertical="top" wrapText="1"/>
    </xf>
    <xf numFmtId="49" fontId="1" fillId="12" borderId="50" xfId="3" applyNumberFormat="1" applyFill="1" applyBorder="1" applyAlignment="1" applyProtection="1">
      <alignment horizontal="left" vertical="top"/>
    </xf>
    <xf numFmtId="49" fontId="17" fillId="12" borderId="50" xfId="3" applyNumberFormat="1" applyFont="1" applyFill="1" applyBorder="1" applyAlignment="1" applyProtection="1">
      <alignment horizontal="left" vertical="top"/>
    </xf>
    <xf numFmtId="0" fontId="2" fillId="4" borderId="11" xfId="3" applyFont="1" applyFill="1" applyBorder="1" applyAlignment="1" applyProtection="1">
      <alignment wrapText="1"/>
    </xf>
    <xf numFmtId="49" fontId="1" fillId="12" borderId="50"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49" fontId="1" fillId="12" borderId="55" xfId="3" applyNumberFormat="1" applyFill="1" applyBorder="1" applyAlignment="1" applyProtection="1">
      <alignment horizontal="left" vertical="top" wrapText="1"/>
    </xf>
    <xf numFmtId="42" fontId="1" fillId="6" borderId="23" xfId="2" applyNumberFormat="1" applyFont="1" applyFill="1" applyBorder="1" applyProtection="1"/>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6" xfId="3" applyNumberFormat="1" applyFill="1" applyBorder="1" applyAlignment="1" applyProtection="1">
      <alignment horizontal="left" vertical="top" wrapText="1"/>
    </xf>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3" fillId="0" borderId="0" xfId="3" applyFont="1" applyAlignment="1">
      <alignment vertical="top"/>
    </xf>
    <xf numFmtId="0" fontId="32" fillId="0" borderId="0" xfId="3" applyFont="1"/>
    <xf numFmtId="0" fontId="4" fillId="0" borderId="47" xfId="3" applyFont="1" applyBorder="1" applyAlignment="1">
      <alignment horizontal="justify" vertical="center" wrapText="1"/>
    </xf>
    <xf numFmtId="0" fontId="4" fillId="0" borderId="15" xfId="3" applyFont="1" applyBorder="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xf numFmtId="0" fontId="1" fillId="0" borderId="0" xfId="3"/>
    <xf numFmtId="0" fontId="12" fillId="0" borderId="0" xfId="3" applyFont="1"/>
    <xf numFmtId="9" fontId="1" fillId="0" borderId="0" xfId="3" applyNumberFormat="1" applyProtection="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3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53975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130175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17</xdr:row>
      <xdr:rowOff>171450</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200-000002000000}"/>
            </a:ext>
          </a:extLst>
        </xdr:cNvPr>
        <xdr:cNvSpPr/>
      </xdr:nvSpPr>
      <xdr:spPr bwMode="auto">
        <a:xfrm>
          <a:off x="228600" y="32575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200-000003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17</xdr:row>
      <xdr:rowOff>171450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200-000004000000}"/>
            </a:ext>
          </a:extLst>
        </xdr:cNvPr>
        <xdr:cNvSpPr/>
      </xdr:nvSpPr>
      <xdr:spPr bwMode="auto">
        <a:xfrm>
          <a:off x="228600" y="3257550"/>
          <a:ext cx="2857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200-000005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17</xdr:row>
      <xdr:rowOff>169333</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300-000002000000}"/>
            </a:ext>
          </a:extLst>
        </xdr:cNvPr>
        <xdr:cNvSpPr/>
      </xdr:nvSpPr>
      <xdr:spPr bwMode="auto">
        <a:xfrm>
          <a:off x="228600" y="32575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300-000003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17</xdr:row>
      <xdr:rowOff>169333</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300-000004000000}"/>
            </a:ext>
          </a:extLst>
        </xdr:cNvPr>
        <xdr:cNvSpPr/>
      </xdr:nvSpPr>
      <xdr:spPr bwMode="auto">
        <a:xfrm>
          <a:off x="228600" y="3257550"/>
          <a:ext cx="2857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300-000005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33" customFormat="1" ht="18" x14ac:dyDescent="0.25">
      <c r="A1" s="452" t="s">
        <v>0</v>
      </c>
      <c r="B1" s="452"/>
      <c r="C1" s="452"/>
    </row>
    <row r="2" spans="1:3" s="234" customFormat="1" ht="18" x14ac:dyDescent="0.25">
      <c r="A2" s="452" t="s">
        <v>1</v>
      </c>
      <c r="B2" s="452"/>
      <c r="C2" s="452"/>
    </row>
    <row r="3" spans="1:3" s="235" customFormat="1" ht="13.5" thickBot="1" x14ac:dyDescent="0.25">
      <c r="A3" s="234"/>
      <c r="B3" s="234"/>
      <c r="C3" s="234"/>
    </row>
    <row r="4" spans="1:3" s="234" customFormat="1" ht="15.75" thickBot="1" x14ac:dyDescent="0.25">
      <c r="A4" s="236" t="s">
        <v>2</v>
      </c>
      <c r="B4" s="237" t="s">
        <v>3</v>
      </c>
      <c r="C4" s="237" t="s">
        <v>4</v>
      </c>
    </row>
    <row r="5" spans="1:3" s="234" customFormat="1" ht="29.25" thickBot="1" x14ac:dyDescent="0.25">
      <c r="A5" s="67" t="s">
        <v>5</v>
      </c>
      <c r="B5" s="66" t="s">
        <v>6</v>
      </c>
      <c r="C5" s="65">
        <v>44963</v>
      </c>
    </row>
    <row r="6" spans="1:3" s="234" customFormat="1" ht="29.25" thickBot="1" x14ac:dyDescent="0.25">
      <c r="A6" s="67" t="s">
        <v>7</v>
      </c>
      <c r="B6" s="66" t="s">
        <v>8</v>
      </c>
      <c r="C6" s="65">
        <v>45145</v>
      </c>
    </row>
    <row r="8" spans="1:3" ht="17.25" customHeight="1" x14ac:dyDescent="0.2">
      <c r="A8" s="448" t="s">
        <v>9</v>
      </c>
      <c r="B8" s="448"/>
      <c r="C8" s="448"/>
    </row>
    <row r="9" spans="1:3" ht="74.25" customHeight="1" x14ac:dyDescent="0.2">
      <c r="A9" s="449" t="s">
        <v>10</v>
      </c>
      <c r="B9" s="449"/>
      <c r="C9" s="449"/>
    </row>
    <row r="10" spans="1:3" ht="45.75" customHeight="1" x14ac:dyDescent="0.2">
      <c r="A10" s="449" t="s">
        <v>11</v>
      </c>
      <c r="B10" s="449"/>
      <c r="C10" s="449"/>
    </row>
    <row r="11" spans="1:3" ht="90" customHeight="1" x14ac:dyDescent="0.2">
      <c r="A11" s="449" t="s">
        <v>12</v>
      </c>
      <c r="B11" s="449"/>
      <c r="C11" s="449"/>
    </row>
    <row r="12" spans="1:3" ht="11.25" customHeight="1" x14ac:dyDescent="0.2">
      <c r="A12" s="449"/>
      <c r="B12" s="449"/>
      <c r="C12" s="449"/>
    </row>
    <row r="13" spans="1:3" ht="15" customHeight="1" x14ac:dyDescent="0.2">
      <c r="A13" s="448" t="s">
        <v>13</v>
      </c>
      <c r="B13" s="448"/>
      <c r="C13" s="448"/>
    </row>
    <row r="14" spans="1:3" ht="65.25" customHeight="1" x14ac:dyDescent="0.2">
      <c r="A14" s="449" t="s">
        <v>14</v>
      </c>
      <c r="B14" s="449"/>
      <c r="C14" s="449"/>
    </row>
    <row r="15" spans="1:3" s="25" customFormat="1" ht="50.25" customHeight="1" x14ac:dyDescent="0.2">
      <c r="A15" s="449" t="s">
        <v>15</v>
      </c>
      <c r="B15" s="449"/>
      <c r="C15" s="449"/>
    </row>
    <row r="16" spans="1:3" x14ac:dyDescent="0.2">
      <c r="A16" s="449"/>
      <c r="B16" s="449"/>
      <c r="C16" s="449"/>
    </row>
    <row r="17" spans="1:3" ht="16.5" customHeight="1" x14ac:dyDescent="0.2">
      <c r="A17" s="451" t="s">
        <v>16</v>
      </c>
      <c r="B17" s="451"/>
      <c r="C17" s="451"/>
    </row>
    <row r="18" spans="1:3" ht="30.75" customHeight="1" x14ac:dyDescent="0.2">
      <c r="A18" s="450" t="s">
        <v>17</v>
      </c>
      <c r="B18" s="450"/>
      <c r="C18" s="450"/>
    </row>
    <row r="19" spans="1:3" ht="30" customHeight="1" x14ac:dyDescent="0.2">
      <c r="A19" s="450" t="s">
        <v>18</v>
      </c>
      <c r="B19" s="450"/>
      <c r="C19" s="450"/>
    </row>
    <row r="20" spans="1:3" s="25" customFormat="1" ht="24.75" customHeight="1" x14ac:dyDescent="0.2">
      <c r="A20" s="450" t="s">
        <v>19</v>
      </c>
      <c r="B20" s="450"/>
      <c r="C20" s="450"/>
    </row>
    <row r="21" spans="1:3" ht="30" customHeight="1" x14ac:dyDescent="0.2">
      <c r="A21" s="450" t="s">
        <v>20</v>
      </c>
      <c r="B21" s="450"/>
      <c r="C21" s="450"/>
    </row>
    <row r="22" spans="1:3" x14ac:dyDescent="0.2">
      <c r="A22" s="449"/>
      <c r="B22" s="449"/>
      <c r="C22" s="449"/>
    </row>
    <row r="23" spans="1:3" ht="12.75" customHeight="1" x14ac:dyDescent="0.2">
      <c r="A23" s="451" t="s">
        <v>21</v>
      </c>
      <c r="B23" s="451"/>
      <c r="C23" s="451"/>
    </row>
    <row r="24" spans="1:3" s="25" customFormat="1" ht="172.5" customHeight="1" x14ac:dyDescent="0.2">
      <c r="A24" s="450" t="s">
        <v>22</v>
      </c>
      <c r="B24" s="450"/>
      <c r="C24" s="450"/>
    </row>
    <row r="25" spans="1:3" ht="174.75" customHeight="1" x14ac:dyDescent="0.2">
      <c r="A25" s="450" t="s">
        <v>23</v>
      </c>
      <c r="B25" s="450"/>
      <c r="C25" s="450"/>
    </row>
    <row r="26" spans="1:3" x14ac:dyDescent="0.2">
      <c r="A26" s="449"/>
      <c r="B26" s="449"/>
      <c r="C26" s="449"/>
    </row>
    <row r="27" spans="1:3" ht="13.5" customHeight="1" x14ac:dyDescent="0.2">
      <c r="A27" s="451" t="s">
        <v>24</v>
      </c>
      <c r="B27" s="451"/>
      <c r="C27" s="451"/>
    </row>
    <row r="28" spans="1:3" ht="54" customHeight="1" x14ac:dyDescent="0.2">
      <c r="A28" s="450" t="s">
        <v>25</v>
      </c>
      <c r="B28" s="450"/>
      <c r="C28" s="450"/>
    </row>
    <row r="29" spans="1:3" ht="31.5" customHeight="1" x14ac:dyDescent="0.2">
      <c r="A29" s="450" t="s">
        <v>26</v>
      </c>
      <c r="B29" s="450"/>
      <c r="C29" s="450"/>
    </row>
    <row r="30" spans="1:3" ht="55.5" customHeight="1" x14ac:dyDescent="0.2">
      <c r="A30" s="450" t="s">
        <v>27</v>
      </c>
      <c r="B30" s="450"/>
      <c r="C30" s="450"/>
    </row>
    <row r="31" spans="1:3" x14ac:dyDescent="0.2">
      <c r="A31" s="449"/>
      <c r="B31" s="449"/>
      <c r="C31" s="449"/>
    </row>
    <row r="32" spans="1:3" x14ac:dyDescent="0.2">
      <c r="A32" s="448" t="s">
        <v>28</v>
      </c>
      <c r="B32" s="448"/>
      <c r="C32" s="448"/>
    </row>
    <row r="33" spans="1:3" ht="43.5" customHeight="1" x14ac:dyDescent="0.2">
      <c r="A33" s="449" t="s">
        <v>29</v>
      </c>
      <c r="B33" s="449"/>
      <c r="C33" s="449"/>
    </row>
    <row r="35" spans="1:3" x14ac:dyDescent="0.2">
      <c r="A35" s="448" t="s">
        <v>30</v>
      </c>
      <c r="B35" s="448"/>
      <c r="C35" s="448"/>
    </row>
    <row r="36" spans="1:3" ht="54" customHeight="1" x14ac:dyDescent="0.2">
      <c r="A36" s="449" t="s">
        <v>31</v>
      </c>
      <c r="B36" s="449"/>
      <c r="C36" s="449"/>
    </row>
    <row r="37" spans="1:3" x14ac:dyDescent="0.2">
      <c r="A37" s="449"/>
      <c r="B37" s="449"/>
      <c r="C37" s="449"/>
    </row>
    <row r="38" spans="1:3" x14ac:dyDescent="0.2">
      <c r="A38" s="448" t="s">
        <v>32</v>
      </c>
      <c r="B38" s="448"/>
      <c r="C38" s="448"/>
    </row>
    <row r="39" spans="1:3" ht="86.25" customHeight="1" x14ac:dyDescent="0.2">
      <c r="A39" s="449" t="s">
        <v>33</v>
      </c>
      <c r="B39" s="449"/>
      <c r="C39" s="449"/>
    </row>
    <row r="41" spans="1:3" x14ac:dyDescent="0.2">
      <c r="A41" s="448" t="s">
        <v>34</v>
      </c>
      <c r="B41" s="448"/>
      <c r="C41" s="448"/>
    </row>
    <row r="42" spans="1:3" ht="77.25" customHeight="1" x14ac:dyDescent="0.2">
      <c r="A42" s="449" t="s">
        <v>35</v>
      </c>
      <c r="B42" s="449"/>
      <c r="C42" s="449"/>
    </row>
  </sheetData>
  <sheetProtection algorithmName="SHA-512" hashValue="m37Hc++xYDLBdgKd3ZAXxUM7/4csSnyoVGgD4MaWWP0mhl0dYJa1f5ceOuDH+H6Uv75eeZtBmG8MU/DE6Tg7Cg==" saltValue="ETUblRDNIgxQPsfpu1nsqw=="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FD138"/>
  <sheetViews>
    <sheetView showGridLines="0" zoomScale="80" zoomScaleNormal="80" workbookViewId="0">
      <selection activeCell="N1" sqref="N1"/>
    </sheetView>
  </sheetViews>
  <sheetFormatPr defaultColWidth="8.85546875" defaultRowHeight="12.75" outlineLevelRow="1" x14ac:dyDescent="0.2"/>
  <cols>
    <col min="1" max="1" width="33.140625" style="334" customWidth="1"/>
    <col min="2" max="2" width="32.5703125" style="334" customWidth="1"/>
    <col min="3" max="3" width="30.42578125" style="334" customWidth="1"/>
    <col min="4" max="4" width="11.140625" style="334" customWidth="1"/>
    <col min="5" max="5" width="10.85546875" style="334" customWidth="1"/>
    <col min="6" max="6" width="10" style="334" customWidth="1"/>
    <col min="7" max="9" width="14.85546875" style="334" customWidth="1"/>
    <col min="10" max="12" width="14.42578125" style="334" customWidth="1"/>
    <col min="13" max="13" width="13.85546875" style="21" bestFit="1" customWidth="1"/>
    <col min="14" max="14" width="16.7109375" style="20" customWidth="1"/>
    <col min="15" max="16384" width="8.85546875" style="334"/>
  </cols>
  <sheetData>
    <row r="1" spans="1:14" ht="18" x14ac:dyDescent="0.25">
      <c r="A1" s="331" t="s">
        <v>36</v>
      </c>
      <c r="B1" s="332"/>
      <c r="C1" s="333"/>
      <c r="D1" s="333"/>
      <c r="E1" s="333"/>
      <c r="F1" s="333"/>
      <c r="G1" s="333"/>
      <c r="H1" s="333"/>
      <c r="I1" s="333"/>
      <c r="J1" s="333"/>
      <c r="K1" s="333"/>
      <c r="L1" s="333"/>
      <c r="M1" s="35"/>
      <c r="N1" s="34"/>
    </row>
    <row r="2" spans="1:14" ht="18" x14ac:dyDescent="0.2">
      <c r="A2" s="335" t="s">
        <v>37</v>
      </c>
      <c r="B2" s="332"/>
      <c r="C2" s="333"/>
      <c r="D2" s="333"/>
      <c r="E2" s="333"/>
      <c r="F2" s="333"/>
      <c r="G2" s="333"/>
      <c r="H2" s="333"/>
      <c r="I2" s="333"/>
      <c r="J2" s="333"/>
      <c r="K2" s="333"/>
      <c r="L2" s="333"/>
      <c r="M2" s="35"/>
      <c r="N2" s="34"/>
    </row>
    <row r="3" spans="1:14" ht="13.5" thickBot="1" x14ac:dyDescent="0.25">
      <c r="A3" s="332"/>
      <c r="B3" s="332"/>
      <c r="C3" s="333"/>
      <c r="D3" s="333"/>
      <c r="E3" s="333"/>
      <c r="F3" s="333"/>
      <c r="G3" s="333"/>
      <c r="H3" s="333"/>
      <c r="I3" s="333"/>
      <c r="J3" s="333"/>
      <c r="K3" s="333"/>
      <c r="L3" s="333"/>
      <c r="M3" s="35"/>
      <c r="N3" s="34"/>
    </row>
    <row r="4" spans="1:14" ht="13.5" thickBot="1" x14ac:dyDescent="0.25">
      <c r="A4" s="336" t="s">
        <v>38</v>
      </c>
      <c r="B4" s="337"/>
      <c r="C4" s="337"/>
      <c r="D4" s="337"/>
      <c r="E4" s="337"/>
      <c r="F4" s="337"/>
      <c r="G4" s="337"/>
      <c r="H4" s="337"/>
      <c r="I4" s="337"/>
      <c r="J4" s="337"/>
      <c r="K4" s="337"/>
      <c r="L4" s="337"/>
      <c r="M4" s="120"/>
      <c r="N4" s="338"/>
    </row>
    <row r="5" spans="1:14" ht="33.75" x14ac:dyDescent="0.2">
      <c r="A5" s="339"/>
      <c r="B5" s="340"/>
      <c r="C5" s="340"/>
      <c r="D5" s="340"/>
      <c r="E5" s="340"/>
      <c r="F5" s="340"/>
      <c r="G5" s="341" t="s">
        <v>39</v>
      </c>
      <c r="H5" s="341" t="s">
        <v>40</v>
      </c>
      <c r="I5" s="341" t="s">
        <v>41</v>
      </c>
      <c r="J5" s="341" t="s">
        <v>42</v>
      </c>
      <c r="K5" s="341" t="s">
        <v>43</v>
      </c>
      <c r="L5" s="341" t="s">
        <v>44</v>
      </c>
      <c r="M5" s="131" t="s">
        <v>45</v>
      </c>
      <c r="N5" s="132" t="s">
        <v>46</v>
      </c>
    </row>
    <row r="6" spans="1:14" x14ac:dyDescent="0.2">
      <c r="A6" s="342" t="s">
        <v>47</v>
      </c>
      <c r="B6" s="343" t="s">
        <v>48</v>
      </c>
      <c r="C6" s="343"/>
      <c r="D6" s="344" t="str">
        <f>A24</f>
        <v>1A.  Staff Salaries</v>
      </c>
      <c r="G6" s="153">
        <f t="shared" ref="G6:I6" si="0">G38</f>
        <v>522000</v>
      </c>
      <c r="H6" s="153">
        <f t="shared" si="0"/>
        <v>239600</v>
      </c>
      <c r="I6" s="153">
        <f t="shared" si="0"/>
        <v>282400</v>
      </c>
      <c r="J6" s="153">
        <f t="shared" ref="J6:K6" si="1">J38</f>
        <v>84285</v>
      </c>
      <c r="K6" s="153">
        <f t="shared" si="1"/>
        <v>156982.02000000002</v>
      </c>
      <c r="L6" s="153">
        <f>L38</f>
        <v>241267.02000000002</v>
      </c>
      <c r="M6" s="31">
        <f t="shared" ref="M6:M13" si="2">IFERROR(L6/H6,"N/A")</f>
        <v>1.0069575125208683</v>
      </c>
      <c r="N6" s="155">
        <f>N38</f>
        <v>518948.83999999997</v>
      </c>
    </row>
    <row r="7" spans="1:14" x14ac:dyDescent="0.2">
      <c r="A7" s="342" t="s">
        <v>49</v>
      </c>
      <c r="B7" s="345" t="s">
        <v>50</v>
      </c>
      <c r="C7" s="345"/>
      <c r="D7" s="344" t="str">
        <f>A40</f>
        <v>1B.  Staff Fringe Benefits</v>
      </c>
      <c r="G7" s="153">
        <f t="shared" ref="G7:I7" si="3">G50</f>
        <v>78300</v>
      </c>
      <c r="H7" s="153">
        <f t="shared" si="3"/>
        <v>35250</v>
      </c>
      <c r="I7" s="153">
        <f t="shared" si="3"/>
        <v>43050</v>
      </c>
      <c r="J7" s="153">
        <f>J50</f>
        <v>13865</v>
      </c>
      <c r="K7" s="153">
        <f>K50</f>
        <v>22019.950000000004</v>
      </c>
      <c r="L7" s="153">
        <f>L50</f>
        <v>35884.950000000004</v>
      </c>
      <c r="M7" s="31">
        <f t="shared" si="2"/>
        <v>1.0180127659574469</v>
      </c>
      <c r="N7" s="155">
        <f>N50</f>
        <v>37056.620000000003</v>
      </c>
    </row>
    <row r="8" spans="1:14" x14ac:dyDescent="0.2">
      <c r="A8" s="346"/>
      <c r="D8" s="344" t="str">
        <f>A52</f>
        <v>2.  Consultant Services</v>
      </c>
      <c r="G8" s="153">
        <f t="shared" ref="G8:I8" si="4">G60</f>
        <v>11761.44</v>
      </c>
      <c r="H8" s="153">
        <f t="shared" si="4"/>
        <v>11610</v>
      </c>
      <c r="I8" s="153">
        <f t="shared" si="4"/>
        <v>151.44000000000051</v>
      </c>
      <c r="J8" s="153">
        <f>J60</f>
        <v>8278</v>
      </c>
      <c r="K8" s="153">
        <f>K60</f>
        <v>3294.09</v>
      </c>
      <c r="L8" s="153">
        <f>L60</f>
        <v>11572.09</v>
      </c>
      <c r="M8" s="31">
        <f t="shared" si="2"/>
        <v>0.99673471145564174</v>
      </c>
      <c r="N8" s="155">
        <f>N60</f>
        <v>37945.46</v>
      </c>
    </row>
    <row r="9" spans="1:14" x14ac:dyDescent="0.2">
      <c r="A9" s="346"/>
      <c r="D9" s="344" t="str">
        <f>A62</f>
        <v>3.  Operating Expenses</v>
      </c>
      <c r="G9" s="153">
        <f t="shared" ref="G9:L9" si="5">G83</f>
        <v>100684.14</v>
      </c>
      <c r="H9" s="153">
        <f t="shared" si="5"/>
        <v>29740</v>
      </c>
      <c r="I9" s="153">
        <f t="shared" si="5"/>
        <v>70944.14</v>
      </c>
      <c r="J9" s="153">
        <f t="shared" si="5"/>
        <v>17216</v>
      </c>
      <c r="K9" s="153">
        <f t="shared" si="5"/>
        <v>10259.94</v>
      </c>
      <c r="L9" s="153">
        <f t="shared" si="5"/>
        <v>27475.94</v>
      </c>
      <c r="M9" s="31">
        <f t="shared" si="2"/>
        <v>0.92387155346334893</v>
      </c>
      <c r="N9" s="155">
        <f>N83</f>
        <v>57004.47</v>
      </c>
    </row>
    <row r="10" spans="1:14" x14ac:dyDescent="0.2">
      <c r="A10" s="347" t="s">
        <v>51</v>
      </c>
      <c r="B10" s="348" t="s">
        <v>52</v>
      </c>
      <c r="D10" s="344" t="str">
        <f>A85</f>
        <v>4.  Direct Client Support</v>
      </c>
      <c r="G10" s="153">
        <f>G91</f>
        <v>0</v>
      </c>
      <c r="H10" s="153">
        <f t="shared" ref="H10:N10" si="6">H91</f>
        <v>0</v>
      </c>
      <c r="I10" s="153">
        <f t="shared" si="6"/>
        <v>0</v>
      </c>
      <c r="J10" s="153">
        <f t="shared" si="6"/>
        <v>0</v>
      </c>
      <c r="K10" s="153">
        <f t="shared" si="6"/>
        <v>0</v>
      </c>
      <c r="L10" s="153">
        <f t="shared" si="6"/>
        <v>0</v>
      </c>
      <c r="M10" s="31" t="str">
        <f t="shared" si="2"/>
        <v>N/A</v>
      </c>
      <c r="N10" s="155">
        <f t="shared" si="6"/>
        <v>0</v>
      </c>
    </row>
    <row r="11" spans="1:14" x14ac:dyDescent="0.2">
      <c r="A11" s="346"/>
      <c r="D11" s="344" t="str">
        <f>A93</f>
        <v>5.  Other</v>
      </c>
      <c r="G11" s="153">
        <f>G99</f>
        <v>0</v>
      </c>
      <c r="H11" s="153">
        <f t="shared" ref="H11:N11" si="7">H99</f>
        <v>0</v>
      </c>
      <c r="I11" s="153">
        <f t="shared" si="7"/>
        <v>0</v>
      </c>
      <c r="J11" s="153">
        <f t="shared" si="7"/>
        <v>0</v>
      </c>
      <c r="K11" s="153">
        <f t="shared" si="7"/>
        <v>0</v>
      </c>
      <c r="L11" s="153">
        <f t="shared" si="7"/>
        <v>0</v>
      </c>
      <c r="M11" s="31" t="str">
        <f t="shared" si="2"/>
        <v>N/A</v>
      </c>
      <c r="N11" s="155">
        <f t="shared" si="7"/>
        <v>0</v>
      </c>
    </row>
    <row r="12" spans="1:14" x14ac:dyDescent="0.2">
      <c r="A12" s="346"/>
      <c r="D12" s="344" t="str">
        <f>A101</f>
        <v>6.  Indirect Administrative Costs</v>
      </c>
      <c r="G12" s="153">
        <f>G108</f>
        <v>78300</v>
      </c>
      <c r="H12" s="153">
        <f t="shared" ref="H12:L12" si="8">H108</f>
        <v>38208.75</v>
      </c>
      <c r="I12" s="153">
        <f t="shared" si="8"/>
        <v>40091.25</v>
      </c>
      <c r="J12" s="153">
        <f t="shared" si="8"/>
        <v>19104</v>
      </c>
      <c r="K12" s="153">
        <f t="shared" si="8"/>
        <v>19105</v>
      </c>
      <c r="L12" s="153">
        <f t="shared" si="8"/>
        <v>38209</v>
      </c>
      <c r="M12" s="31">
        <f t="shared" si="2"/>
        <v>1.0000065430038931</v>
      </c>
      <c r="N12" s="155">
        <f>N108</f>
        <v>32010</v>
      </c>
    </row>
    <row r="13" spans="1:14" x14ac:dyDescent="0.2">
      <c r="A13" s="346" t="s">
        <v>53</v>
      </c>
      <c r="B13" s="349">
        <v>354409</v>
      </c>
      <c r="D13" s="350" t="str">
        <f>C110</f>
        <v>7.   TOTAL BUDGET</v>
      </c>
      <c r="E13" s="332"/>
      <c r="F13" s="332"/>
      <c r="G13" s="154">
        <f>G110</f>
        <v>791045.58000000007</v>
      </c>
      <c r="H13" s="154">
        <f t="shared" ref="H13:L13" si="9">H110</f>
        <v>354408.75</v>
      </c>
      <c r="I13" s="154">
        <f t="shared" si="9"/>
        <v>436636.83</v>
      </c>
      <c r="J13" s="154">
        <f t="shared" si="9"/>
        <v>142748</v>
      </c>
      <c r="K13" s="154">
        <f t="shared" si="9"/>
        <v>211661.00000000003</v>
      </c>
      <c r="L13" s="154">
        <f t="shared" si="9"/>
        <v>354409</v>
      </c>
      <c r="M13" s="33">
        <f t="shared" si="2"/>
        <v>1.0000007054001911</v>
      </c>
      <c r="N13" s="156">
        <f>N110</f>
        <v>682965.3899999999</v>
      </c>
    </row>
    <row r="14" spans="1:14" x14ac:dyDescent="0.2">
      <c r="A14" s="346" t="s">
        <v>54</v>
      </c>
      <c r="B14" s="178">
        <f>L13</f>
        <v>354409</v>
      </c>
      <c r="M14" s="334"/>
      <c r="N14" s="351"/>
    </row>
    <row r="15" spans="1:14" x14ac:dyDescent="0.2">
      <c r="A15" s="346" t="s">
        <v>55</v>
      </c>
      <c r="B15" s="178">
        <f>B13-B14</f>
        <v>0</v>
      </c>
      <c r="M15" s="334"/>
      <c r="N15" s="351"/>
    </row>
    <row r="16" spans="1:14" x14ac:dyDescent="0.2">
      <c r="A16" s="346"/>
      <c r="M16" s="334"/>
      <c r="N16" s="351"/>
    </row>
    <row r="17" spans="1:14 16384:16384" ht="13.5" thickBot="1" x14ac:dyDescent="0.25">
      <c r="A17" s="352"/>
      <c r="B17" s="353"/>
      <c r="C17" s="354"/>
      <c r="D17" s="353"/>
      <c r="E17" s="353"/>
      <c r="F17" s="353"/>
      <c r="G17" s="354"/>
      <c r="H17" s="354"/>
      <c r="I17" s="354"/>
      <c r="J17" s="354"/>
      <c r="K17" s="354"/>
      <c r="L17" s="354"/>
      <c r="M17" s="354"/>
      <c r="N17" s="355"/>
    </row>
    <row r="18" spans="1:14 16384:16384" ht="13.5" thickBot="1" x14ac:dyDescent="0.25">
      <c r="A18" s="332"/>
      <c r="D18" s="332"/>
      <c r="E18" s="332"/>
      <c r="F18" s="332"/>
      <c r="G18" s="68"/>
      <c r="H18" s="68"/>
      <c r="I18" s="68"/>
      <c r="J18" s="68"/>
      <c r="K18" s="68"/>
      <c r="L18" s="68"/>
      <c r="M18" s="62"/>
      <c r="N18" s="68"/>
    </row>
    <row r="19" spans="1:14 16384:16384" ht="13.5" hidden="1" thickBot="1" x14ac:dyDescent="0.25">
      <c r="A19" s="339" t="s">
        <v>56</v>
      </c>
      <c r="B19" s="340"/>
      <c r="C19" s="340" t="s">
        <v>57</v>
      </c>
      <c r="D19" s="356"/>
      <c r="E19" s="356"/>
      <c r="F19" s="340" t="s">
        <v>58</v>
      </c>
      <c r="G19" s="139"/>
      <c r="H19" s="139"/>
      <c r="I19" s="139"/>
      <c r="J19" s="139"/>
      <c r="K19" s="139"/>
      <c r="L19" s="139"/>
      <c r="M19" s="140"/>
      <c r="N19" s="141"/>
    </row>
    <row r="20" spans="1:14 16384:16384" ht="13.5" hidden="1" thickBot="1" x14ac:dyDescent="0.25">
      <c r="A20" s="346" t="s">
        <v>59</v>
      </c>
      <c r="C20" s="334" t="s">
        <v>60</v>
      </c>
      <c r="D20" s="332"/>
      <c r="E20" s="332"/>
      <c r="F20" s="334" t="s">
        <v>61</v>
      </c>
      <c r="G20" s="68"/>
      <c r="H20" s="68"/>
      <c r="I20" s="68"/>
      <c r="J20" s="68"/>
      <c r="K20" s="68"/>
      <c r="L20" s="68"/>
      <c r="M20" s="62"/>
      <c r="N20" s="142"/>
    </row>
    <row r="21" spans="1:14 16384:16384" ht="13.5" hidden="1" thickBot="1" x14ac:dyDescent="0.25">
      <c r="A21" s="357" t="s">
        <v>52</v>
      </c>
      <c r="B21" s="354"/>
      <c r="C21" s="334" t="s">
        <v>62</v>
      </c>
      <c r="D21" s="354"/>
      <c r="E21" s="354"/>
      <c r="F21" s="354" t="s">
        <v>63</v>
      </c>
      <c r="G21" s="354"/>
      <c r="H21" s="354"/>
      <c r="I21" s="354"/>
      <c r="J21" s="354"/>
      <c r="K21" s="354"/>
      <c r="L21" s="354"/>
      <c r="M21" s="23"/>
      <c r="N21" s="143"/>
    </row>
    <row r="22" spans="1:14 16384:16384" ht="13.5" thickBot="1" x14ac:dyDescent="0.25">
      <c r="A22" s="336" t="s">
        <v>64</v>
      </c>
      <c r="B22" s="337"/>
      <c r="C22" s="337"/>
      <c r="D22" s="337"/>
      <c r="E22" s="337"/>
      <c r="F22" s="337"/>
      <c r="G22" s="337"/>
      <c r="H22" s="337"/>
      <c r="I22" s="337"/>
      <c r="J22" s="337"/>
      <c r="K22" s="337"/>
      <c r="L22" s="337"/>
      <c r="M22" s="120"/>
      <c r="N22" s="338"/>
    </row>
    <row r="23" spans="1:14 16384:16384" ht="13.5" thickBot="1" x14ac:dyDescent="0.25"/>
    <row r="24" spans="1:14 16384:16384" x14ac:dyDescent="0.2">
      <c r="A24" s="358" t="s">
        <v>65</v>
      </c>
      <c r="B24" s="359"/>
      <c r="C24" s="359"/>
      <c r="D24" s="359"/>
      <c r="E24" s="359"/>
      <c r="F24" s="360"/>
      <c r="G24" s="361"/>
      <c r="H24" s="361"/>
      <c r="I24" s="361"/>
      <c r="J24" s="361"/>
      <c r="K24" s="361"/>
      <c r="L24" s="361"/>
      <c r="M24" s="107"/>
      <c r="N24" s="108"/>
    </row>
    <row r="25" spans="1:14 16384:16384" s="366" customFormat="1" ht="11.25" x14ac:dyDescent="0.2">
      <c r="A25" s="362" t="s">
        <v>66</v>
      </c>
      <c r="B25" s="363"/>
      <c r="C25" s="363"/>
      <c r="D25" s="363"/>
      <c r="E25" s="363"/>
      <c r="F25" s="364"/>
      <c r="G25" s="365"/>
      <c r="H25" s="365"/>
      <c r="I25" s="365"/>
      <c r="J25" s="365"/>
      <c r="K25" s="365"/>
      <c r="L25" s="365"/>
      <c r="M25" s="14"/>
      <c r="N25" s="109"/>
    </row>
    <row r="26" spans="1:14 16384:16384" s="366" customFormat="1" ht="33.75" x14ac:dyDescent="0.2">
      <c r="A26" s="367" t="s">
        <v>67</v>
      </c>
      <c r="B26" s="368" t="s">
        <v>68</v>
      </c>
      <c r="C26" s="369" t="s">
        <v>69</v>
      </c>
      <c r="D26" s="369" t="s">
        <v>70</v>
      </c>
      <c r="E26" s="369"/>
      <c r="F26" s="369"/>
      <c r="G26" s="369" t="s">
        <v>39</v>
      </c>
      <c r="H26" s="369" t="s">
        <v>40</v>
      </c>
      <c r="I26" s="369" t="s">
        <v>41</v>
      </c>
      <c r="J26" s="369" t="s">
        <v>42</v>
      </c>
      <c r="K26" s="369" t="s">
        <v>43</v>
      </c>
      <c r="L26" s="369" t="s">
        <v>44</v>
      </c>
      <c r="M26" s="40" t="s">
        <v>45</v>
      </c>
      <c r="N26" s="110" t="s">
        <v>46</v>
      </c>
    </row>
    <row r="27" spans="1:14 16384:16384" hidden="1" outlineLevel="1" x14ac:dyDescent="0.2">
      <c r="A27" s="370" t="s">
        <v>77</v>
      </c>
      <c r="B27" s="371" t="s">
        <v>78</v>
      </c>
      <c r="C27" s="372" t="s">
        <v>57</v>
      </c>
      <c r="D27" s="373">
        <v>1</v>
      </c>
      <c r="E27" s="374">
        <v>1</v>
      </c>
      <c r="F27" s="375">
        <v>12</v>
      </c>
      <c r="G27" s="244">
        <v>120000</v>
      </c>
      <c r="H27" s="244">
        <v>40000</v>
      </c>
      <c r="I27" s="153">
        <f>G27-H27</f>
        <v>80000</v>
      </c>
      <c r="J27" s="282">
        <f>34656-17000</f>
        <v>17656</v>
      </c>
      <c r="K27" s="282">
        <f>39223.92-J27</f>
        <v>21567.919999999998</v>
      </c>
      <c r="L27" s="376">
        <f t="shared" ref="L27:L37" si="10">SUM(J27:K27)</f>
        <v>39223.919999999998</v>
      </c>
      <c r="M27" s="31">
        <f t="shared" ref="M27:M38" si="11">IFERROR(L27/H27,"N/A")</f>
        <v>0.98059799999999997</v>
      </c>
      <c r="N27" s="377">
        <f>'CM Worksheet'!N27</f>
        <v>120384.61</v>
      </c>
      <c r="XFD27" s="469">
        <f>SUM(M27:XFC27)</f>
        <v>120385.590598</v>
      </c>
    </row>
    <row r="28" spans="1:14 16384:16384" collapsed="1" x14ac:dyDescent="0.2">
      <c r="A28" s="370"/>
      <c r="B28" s="371"/>
      <c r="C28" s="372" t="s">
        <v>57</v>
      </c>
      <c r="D28" s="381">
        <f>SUM(D27)</f>
        <v>1</v>
      </c>
      <c r="E28" s="379"/>
      <c r="F28" s="380"/>
      <c r="G28" s="244">
        <f t="shared" ref="G28:L28" si="12">SUM(G27)</f>
        <v>120000</v>
      </c>
      <c r="H28" s="244">
        <f t="shared" si="12"/>
        <v>40000</v>
      </c>
      <c r="I28" s="158">
        <f t="shared" si="12"/>
        <v>80000</v>
      </c>
      <c r="J28" s="282">
        <f t="shared" si="12"/>
        <v>17656</v>
      </c>
      <c r="K28" s="282">
        <f t="shared" si="12"/>
        <v>21567.919999999998</v>
      </c>
      <c r="L28" s="376">
        <f t="shared" si="12"/>
        <v>39223.919999999998</v>
      </c>
      <c r="M28" s="31">
        <f t="shared" si="11"/>
        <v>0.98059799999999997</v>
      </c>
      <c r="N28" s="377">
        <f>SUM(N27)</f>
        <v>120384.61</v>
      </c>
    </row>
    <row r="29" spans="1:14 16384:16384" hidden="1" outlineLevel="1" x14ac:dyDescent="0.2">
      <c r="A29" s="370" t="s">
        <v>79</v>
      </c>
      <c r="B29" s="371" t="s">
        <v>80</v>
      </c>
      <c r="C29" s="372" t="s">
        <v>62</v>
      </c>
      <c r="D29" s="373">
        <v>1</v>
      </c>
      <c r="E29" s="374">
        <v>1</v>
      </c>
      <c r="F29" s="375">
        <v>12</v>
      </c>
      <c r="G29" s="244">
        <v>69000</v>
      </c>
      <c r="H29" s="244">
        <f>33000+4600</f>
        <v>37600</v>
      </c>
      <c r="I29" s="158">
        <f t="shared" ref="I29:I37" si="13">G29-H29</f>
        <v>31400</v>
      </c>
      <c r="J29" s="282">
        <v>12147</v>
      </c>
      <c r="K29" s="282">
        <f>36911.78-J29</f>
        <v>24764.78</v>
      </c>
      <c r="L29" s="376">
        <f t="shared" si="10"/>
        <v>36911.78</v>
      </c>
      <c r="M29" s="31">
        <f t="shared" si="11"/>
        <v>0.98169627659574465</v>
      </c>
      <c r="N29" s="377">
        <f>'CM Worksheet'!N28</f>
        <v>74142.23</v>
      </c>
      <c r="XFD29" s="469">
        <f>SUM(M29:XFC29)</f>
        <v>74143.211696276587</v>
      </c>
    </row>
    <row r="30" spans="1:14 16384:16384" hidden="1" outlineLevel="1" x14ac:dyDescent="0.2">
      <c r="A30" s="370" t="s">
        <v>82</v>
      </c>
      <c r="B30" s="371" t="s">
        <v>80</v>
      </c>
      <c r="C30" s="372" t="s">
        <v>62</v>
      </c>
      <c r="D30" s="373">
        <v>1</v>
      </c>
      <c r="E30" s="374">
        <v>1</v>
      </c>
      <c r="F30" s="375">
        <v>12</v>
      </c>
      <c r="G30" s="244">
        <v>69000</v>
      </c>
      <c r="H30" s="244">
        <v>33000</v>
      </c>
      <c r="I30" s="158">
        <f t="shared" si="13"/>
        <v>36000</v>
      </c>
      <c r="J30" s="282">
        <v>9822</v>
      </c>
      <c r="K30" s="282">
        <f>33086.45-J30</f>
        <v>23264.449999999997</v>
      </c>
      <c r="L30" s="376">
        <f t="shared" si="10"/>
        <v>33086.449999999997</v>
      </c>
      <c r="M30" s="31">
        <f t="shared" si="11"/>
        <v>1.0026196969696968</v>
      </c>
      <c r="N30" s="377">
        <f>'CM Worksheet'!N29</f>
        <v>66995.709999999992</v>
      </c>
      <c r="XFD30" s="469">
        <f>SUM(M30:XFC30)</f>
        <v>66996.712619696962</v>
      </c>
    </row>
    <row r="31" spans="1:14 16384:16384" hidden="1" outlineLevel="1" x14ac:dyDescent="0.2">
      <c r="A31" s="370" t="s">
        <v>83</v>
      </c>
      <c r="B31" s="371" t="s">
        <v>80</v>
      </c>
      <c r="C31" s="378" t="s">
        <v>62</v>
      </c>
      <c r="D31" s="373">
        <v>1</v>
      </c>
      <c r="E31" s="379">
        <v>1</v>
      </c>
      <c r="F31" s="380">
        <v>12</v>
      </c>
      <c r="G31" s="244">
        <v>65000</v>
      </c>
      <c r="H31" s="244">
        <v>33000</v>
      </c>
      <c r="I31" s="158">
        <f t="shared" si="13"/>
        <v>32000</v>
      </c>
      <c r="J31" s="282">
        <v>12200</v>
      </c>
      <c r="K31" s="282">
        <f>33829.18-J31</f>
        <v>21629.18</v>
      </c>
      <c r="L31" s="376">
        <f t="shared" si="10"/>
        <v>33829.18</v>
      </c>
      <c r="M31" s="31">
        <f t="shared" si="11"/>
        <v>1.0251266666666667</v>
      </c>
      <c r="N31" s="377">
        <f>'CM Worksheet'!N30</f>
        <v>63172.780000000006</v>
      </c>
      <c r="XFD31" s="469">
        <f>SUM(XFD29:XFD30)</f>
        <v>141139.92431597353</v>
      </c>
    </row>
    <row r="32" spans="1:14 16384:16384" hidden="1" outlineLevel="1" x14ac:dyDescent="0.2">
      <c r="A32" s="370" t="s">
        <v>84</v>
      </c>
      <c r="B32" s="371" t="s">
        <v>80</v>
      </c>
      <c r="C32" s="378" t="s">
        <v>62</v>
      </c>
      <c r="D32" s="373">
        <v>1</v>
      </c>
      <c r="E32" s="379">
        <v>1</v>
      </c>
      <c r="F32" s="380">
        <v>12</v>
      </c>
      <c r="G32" s="244">
        <v>69000</v>
      </c>
      <c r="H32" s="244">
        <v>33000</v>
      </c>
      <c r="I32" s="158">
        <f t="shared" si="13"/>
        <v>36000</v>
      </c>
      <c r="J32" s="282">
        <v>10349</v>
      </c>
      <c r="K32" s="282">
        <f>31969.74-J32</f>
        <v>21620.74</v>
      </c>
      <c r="L32" s="376">
        <f t="shared" si="10"/>
        <v>31969.74</v>
      </c>
      <c r="M32" s="31">
        <f t="shared" si="11"/>
        <v>0.96878000000000009</v>
      </c>
      <c r="N32" s="377">
        <f>'CM Worksheet'!N31</f>
        <v>66865.97</v>
      </c>
      <c r="XFD32" s="469">
        <f>SUM(M32:XFC32)</f>
        <v>66866.938779999997</v>
      </c>
    </row>
    <row r="33" spans="1:14 16384:16384" hidden="1" outlineLevel="1" x14ac:dyDescent="0.2">
      <c r="A33" s="370" t="s">
        <v>85</v>
      </c>
      <c r="B33" s="371" t="s">
        <v>80</v>
      </c>
      <c r="C33" s="378" t="s">
        <v>62</v>
      </c>
      <c r="D33" s="373">
        <v>1</v>
      </c>
      <c r="E33" s="379">
        <v>1</v>
      </c>
      <c r="F33" s="380">
        <v>12</v>
      </c>
      <c r="G33" s="244">
        <v>65000</v>
      </c>
      <c r="H33" s="244">
        <v>33000</v>
      </c>
      <c r="I33" s="158">
        <f t="shared" si="13"/>
        <v>32000</v>
      </c>
      <c r="J33" s="282">
        <v>11154</v>
      </c>
      <c r="K33" s="282">
        <f>33236.36-J33</f>
        <v>22082.36</v>
      </c>
      <c r="L33" s="376">
        <f t="shared" si="10"/>
        <v>33236.36</v>
      </c>
      <c r="M33" s="31">
        <f t="shared" ref="M33:M37" si="14">IFERROR(L33/H33,"N/A")</f>
        <v>1.0071624242424242</v>
      </c>
      <c r="N33" s="377">
        <f>'CM Worksheet'!N32</f>
        <v>63265.450000000004</v>
      </c>
      <c r="XFD33" s="469">
        <f>SUM(M33:XFC33)</f>
        <v>63266.457162424245</v>
      </c>
    </row>
    <row r="34" spans="1:14 16384:16384" hidden="1" outlineLevel="1" x14ac:dyDescent="0.2">
      <c r="A34" s="370" t="s">
        <v>86</v>
      </c>
      <c r="B34" s="371" t="s">
        <v>80</v>
      </c>
      <c r="C34" s="378" t="s">
        <v>62</v>
      </c>
      <c r="D34" s="373">
        <v>1</v>
      </c>
      <c r="E34" s="379">
        <v>1</v>
      </c>
      <c r="F34" s="380">
        <v>12</v>
      </c>
      <c r="G34" s="244">
        <v>65000</v>
      </c>
      <c r="H34" s="244">
        <v>30000</v>
      </c>
      <c r="I34" s="158">
        <f t="shared" si="13"/>
        <v>35000</v>
      </c>
      <c r="J34" s="282">
        <v>10957</v>
      </c>
      <c r="K34" s="282">
        <f>33009.59-J34</f>
        <v>22052.589999999997</v>
      </c>
      <c r="L34" s="376">
        <f t="shared" si="10"/>
        <v>33009.589999999997</v>
      </c>
      <c r="M34" s="31">
        <f t="shared" si="14"/>
        <v>1.1003196666666666</v>
      </c>
      <c r="N34" s="377">
        <f>'CM Worksheet'!N33</f>
        <v>64122.09</v>
      </c>
      <c r="XFD34" s="469">
        <f>SUM(XFD32:XFD33)</f>
        <v>130133.39594242425</v>
      </c>
    </row>
    <row r="35" spans="1:14 16384:16384" collapsed="1" x14ac:dyDescent="0.2">
      <c r="A35" s="370"/>
      <c r="B35" s="371"/>
      <c r="C35" s="372" t="s">
        <v>62</v>
      </c>
      <c r="D35" s="381">
        <f>SUM(D29:D34)</f>
        <v>6</v>
      </c>
      <c r="E35" s="379"/>
      <c r="F35" s="380"/>
      <c r="G35" s="244">
        <f t="shared" ref="G35:L35" si="15">SUM(G29:G34)</f>
        <v>402000</v>
      </c>
      <c r="H35" s="244">
        <f t="shared" si="15"/>
        <v>199600</v>
      </c>
      <c r="I35" s="158">
        <f t="shared" si="15"/>
        <v>202400</v>
      </c>
      <c r="J35" s="282">
        <f t="shared" si="15"/>
        <v>66629</v>
      </c>
      <c r="K35" s="282">
        <f t="shared" si="15"/>
        <v>135414.1</v>
      </c>
      <c r="L35" s="376">
        <f t="shared" si="15"/>
        <v>202043.1</v>
      </c>
      <c r="M35" s="31">
        <f t="shared" ref="M35" si="16">IFERROR(L35/H35,"N/A")</f>
        <v>1.0122399799599198</v>
      </c>
      <c r="N35" s="377">
        <f>SUM(N29:N34)</f>
        <v>398564.23</v>
      </c>
    </row>
    <row r="36" spans="1:14 16384:16384" x14ac:dyDescent="0.2">
      <c r="A36" s="370"/>
      <c r="B36" s="371"/>
      <c r="C36" s="378"/>
      <c r="D36" s="381"/>
      <c r="E36" s="379"/>
      <c r="F36" s="380"/>
      <c r="G36" s="244">
        <v>0</v>
      </c>
      <c r="H36" s="244">
        <v>0</v>
      </c>
      <c r="I36" s="158">
        <f t="shared" si="13"/>
        <v>0</v>
      </c>
      <c r="J36" s="282">
        <v>0</v>
      </c>
      <c r="K36" s="282">
        <v>0</v>
      </c>
      <c r="L36" s="376">
        <f t="shared" si="10"/>
        <v>0</v>
      </c>
      <c r="M36" s="31" t="str">
        <f t="shared" si="14"/>
        <v>N/A</v>
      </c>
      <c r="N36" s="377">
        <f>Worksheet!N34</f>
        <v>0</v>
      </c>
    </row>
    <row r="37" spans="1:14 16384:16384" x14ac:dyDescent="0.2">
      <c r="A37" s="370"/>
      <c r="B37" s="371"/>
      <c r="C37" s="378"/>
      <c r="D37" s="381"/>
      <c r="E37" s="379"/>
      <c r="F37" s="380"/>
      <c r="G37" s="244">
        <v>0</v>
      </c>
      <c r="H37" s="244">
        <v>0</v>
      </c>
      <c r="I37" s="158">
        <f t="shared" si="13"/>
        <v>0</v>
      </c>
      <c r="J37" s="282">
        <v>0</v>
      </c>
      <c r="K37" s="282">
        <v>0</v>
      </c>
      <c r="L37" s="376">
        <f t="shared" si="10"/>
        <v>0</v>
      </c>
      <c r="M37" s="31" t="str">
        <f t="shared" si="14"/>
        <v>N/A</v>
      </c>
      <c r="N37" s="377">
        <v>0</v>
      </c>
    </row>
    <row r="38" spans="1:14 16384:16384" ht="13.5" thickBot="1" x14ac:dyDescent="0.25">
      <c r="A38" s="382"/>
      <c r="B38" s="383"/>
      <c r="C38" s="384" t="s">
        <v>87</v>
      </c>
      <c r="D38" s="470">
        <f>SUM(D35,D28)</f>
        <v>7</v>
      </c>
      <c r="E38" s="385"/>
      <c r="F38" s="386"/>
      <c r="G38" s="150">
        <f t="shared" ref="G38:L38" si="17">SUM(G35,G28)</f>
        <v>522000</v>
      </c>
      <c r="H38" s="150">
        <f t="shared" si="17"/>
        <v>239600</v>
      </c>
      <c r="I38" s="150">
        <f t="shared" si="17"/>
        <v>282400</v>
      </c>
      <c r="J38" s="150">
        <f t="shared" si="17"/>
        <v>84285</v>
      </c>
      <c r="K38" s="150">
        <f t="shared" si="17"/>
        <v>156982.02000000002</v>
      </c>
      <c r="L38" s="150">
        <f t="shared" si="17"/>
        <v>241267.02000000002</v>
      </c>
      <c r="M38" s="115">
        <f t="shared" si="11"/>
        <v>1.0069575125208683</v>
      </c>
      <c r="N38" s="152">
        <f>SUM(N35,N28)</f>
        <v>518948.83999999997</v>
      </c>
    </row>
    <row r="39" spans="1:14 16384:16384" ht="13.5" thickBot="1" x14ac:dyDescent="0.25"/>
    <row r="40" spans="1:14 16384:16384" x14ac:dyDescent="0.2">
      <c r="A40" s="387" t="s">
        <v>88</v>
      </c>
      <c r="B40" s="388"/>
      <c r="C40" s="388"/>
      <c r="D40" s="388"/>
      <c r="E40" s="388"/>
      <c r="F40" s="389"/>
      <c r="G40" s="390"/>
      <c r="H40" s="390"/>
      <c r="I40" s="390"/>
      <c r="J40" s="390"/>
      <c r="K40" s="390"/>
      <c r="L40" s="390"/>
      <c r="M40" s="8"/>
      <c r="N40" s="7"/>
    </row>
    <row r="41" spans="1:14 16384:16384" s="366" customFormat="1" ht="11.25" x14ac:dyDescent="0.2">
      <c r="A41" s="391" t="s">
        <v>89</v>
      </c>
      <c r="B41" s="363"/>
      <c r="C41" s="363"/>
      <c r="D41" s="363"/>
      <c r="E41" s="363"/>
      <c r="F41" s="364"/>
      <c r="G41" s="365"/>
      <c r="H41" s="365"/>
      <c r="I41" s="365"/>
      <c r="J41" s="365"/>
      <c r="K41" s="365"/>
      <c r="L41" s="365"/>
      <c r="M41" s="14"/>
      <c r="N41" s="13"/>
    </row>
    <row r="42" spans="1:14 16384:16384" ht="33.75" x14ac:dyDescent="0.2">
      <c r="A42" s="392" t="s">
        <v>90</v>
      </c>
      <c r="B42" s="393"/>
      <c r="C42" s="394"/>
      <c r="D42" s="394"/>
      <c r="E42" s="394"/>
      <c r="F42" s="394"/>
      <c r="G42" s="369" t="s">
        <v>39</v>
      </c>
      <c r="H42" s="369" t="s">
        <v>40</v>
      </c>
      <c r="I42" s="369" t="s">
        <v>41</v>
      </c>
      <c r="J42" s="369" t="s">
        <v>42</v>
      </c>
      <c r="K42" s="369" t="s">
        <v>43</v>
      </c>
      <c r="L42" s="369" t="s">
        <v>44</v>
      </c>
      <c r="M42" s="40" t="s">
        <v>45</v>
      </c>
      <c r="N42" s="41" t="s">
        <v>46</v>
      </c>
    </row>
    <row r="43" spans="1:14 16384:16384" x14ac:dyDescent="0.2">
      <c r="A43" s="395" t="s">
        <v>91</v>
      </c>
      <c r="B43" s="396"/>
      <c r="C43" s="396"/>
      <c r="D43" s="397"/>
      <c r="E43" s="252">
        <v>7.6499999999999999E-2</v>
      </c>
      <c r="F43" s="398"/>
      <c r="G43" s="253">
        <f>$G$38*E43</f>
        <v>39933</v>
      </c>
      <c r="H43" s="253">
        <f>18329.4-690</f>
        <v>17639.400000000001</v>
      </c>
      <c r="I43" s="153">
        <f t="shared" ref="I43" si="18">G43-H43</f>
        <v>22293.599999999999</v>
      </c>
      <c r="J43" s="282">
        <f>6301</f>
        <v>6301</v>
      </c>
      <c r="K43" s="282">
        <f>17738.97-J43</f>
        <v>11437.970000000001</v>
      </c>
      <c r="L43" s="153">
        <f>SUM(J43:K43)</f>
        <v>17738.97</v>
      </c>
      <c r="M43" s="31">
        <f>IFERROR(L43/H43,"N/A")</f>
        <v>1.0056447498214225</v>
      </c>
      <c r="N43" s="377">
        <f>'CM Worksheet'!N41</f>
        <v>19667.45</v>
      </c>
    </row>
    <row r="44" spans="1:14 16384:16384" x14ac:dyDescent="0.2">
      <c r="A44" s="399" t="s">
        <v>92</v>
      </c>
      <c r="B44" s="396"/>
      <c r="C44" s="255"/>
      <c r="D44" s="397"/>
      <c r="E44" s="252">
        <v>0.01</v>
      </c>
      <c r="F44" s="398"/>
      <c r="G44" s="253">
        <f t="shared" ref="G44:G47" si="19">$G$38*E44</f>
        <v>5220</v>
      </c>
      <c r="H44" s="253">
        <v>2396</v>
      </c>
      <c r="I44" s="158">
        <f t="shared" ref="I44:I49" si="20">G44-H44</f>
        <v>2824</v>
      </c>
      <c r="J44" s="282">
        <f>640</f>
        <v>640</v>
      </c>
      <c r="K44" s="284">
        <f>1869.62-J44</f>
        <v>1229.6199999999999</v>
      </c>
      <c r="L44" s="158">
        <f t="shared" ref="L44:L49" si="21">SUM(J44:K44)</f>
        <v>1869.62</v>
      </c>
      <c r="M44" s="29">
        <f t="shared" ref="M44:M49" si="22">IFERROR(L44/H44,"N/A")</f>
        <v>0.78030884808013357</v>
      </c>
      <c r="N44" s="377">
        <f>'CM Worksheet'!N42</f>
        <v>1775.1399999999999</v>
      </c>
    </row>
    <row r="45" spans="1:14 16384:16384" x14ac:dyDescent="0.2">
      <c r="A45" s="399" t="s">
        <v>93</v>
      </c>
      <c r="B45" s="396"/>
      <c r="C45" s="255"/>
      <c r="D45" s="397"/>
      <c r="E45" s="252">
        <v>8.5000000000000006E-3</v>
      </c>
      <c r="F45" s="398"/>
      <c r="G45" s="253">
        <f t="shared" si="19"/>
        <v>4437</v>
      </c>
      <c r="H45" s="253">
        <v>2036.6000000000001</v>
      </c>
      <c r="I45" s="158">
        <f t="shared" si="20"/>
        <v>2400.3999999999996</v>
      </c>
      <c r="J45" s="282">
        <f>391</f>
        <v>391</v>
      </c>
      <c r="K45" s="284">
        <f>461.34-J45</f>
        <v>70.339999999999975</v>
      </c>
      <c r="L45" s="158">
        <f t="shared" si="21"/>
        <v>461.34</v>
      </c>
      <c r="M45" s="29">
        <f t="shared" si="22"/>
        <v>0.22652459982323478</v>
      </c>
      <c r="N45" s="377">
        <f>'CM Worksheet'!N43</f>
        <v>1171.3600000000001</v>
      </c>
    </row>
    <row r="46" spans="1:14 16384:16384" x14ac:dyDescent="0.2">
      <c r="A46" s="399" t="s">
        <v>94</v>
      </c>
      <c r="B46" s="396"/>
      <c r="C46" s="255"/>
      <c r="D46" s="397"/>
      <c r="E46" s="252">
        <v>0.05</v>
      </c>
      <c r="F46" s="398"/>
      <c r="G46" s="253">
        <f t="shared" si="19"/>
        <v>26100</v>
      </c>
      <c r="H46" s="253">
        <v>11980</v>
      </c>
      <c r="I46" s="158">
        <f t="shared" si="20"/>
        <v>14120</v>
      </c>
      <c r="J46" s="282">
        <f>5705</f>
        <v>5705</v>
      </c>
      <c r="K46" s="284">
        <f>13360.62-J46</f>
        <v>7655.6200000000008</v>
      </c>
      <c r="L46" s="158">
        <f t="shared" si="21"/>
        <v>13360.62</v>
      </c>
      <c r="M46" s="29">
        <f t="shared" si="22"/>
        <v>1.1152437395659434</v>
      </c>
      <c r="N46" s="377">
        <f>'CM Worksheet'!N44</f>
        <v>12141.73</v>
      </c>
    </row>
    <row r="47" spans="1:14 16384:16384" x14ac:dyDescent="0.2">
      <c r="A47" s="399" t="s">
        <v>95</v>
      </c>
      <c r="B47" s="396"/>
      <c r="C47" s="255"/>
      <c r="D47" s="397"/>
      <c r="E47" s="252">
        <v>5.0000000000000001E-3</v>
      </c>
      <c r="F47" s="398"/>
      <c r="G47" s="253">
        <f t="shared" si="19"/>
        <v>2610</v>
      </c>
      <c r="H47" s="253">
        <v>1198</v>
      </c>
      <c r="I47" s="158">
        <f t="shared" si="20"/>
        <v>1412</v>
      </c>
      <c r="J47" s="282">
        <f>828</f>
        <v>828</v>
      </c>
      <c r="K47" s="284">
        <f>2454.4-J47</f>
        <v>1626.4</v>
      </c>
      <c r="L47" s="158">
        <f t="shared" si="21"/>
        <v>2454.4</v>
      </c>
      <c r="M47" s="29">
        <f t="shared" si="22"/>
        <v>2.0487479131886479</v>
      </c>
      <c r="N47" s="377">
        <f>'CM Worksheet'!N45</f>
        <v>2300.94</v>
      </c>
    </row>
    <row r="48" spans="1:14 16384:16384" x14ac:dyDescent="0.2">
      <c r="A48" s="399"/>
      <c r="B48" s="396"/>
      <c r="C48" s="255"/>
      <c r="D48" s="397"/>
      <c r="E48" s="400"/>
      <c r="F48" s="398"/>
      <c r="G48" s="253">
        <v>0</v>
      </c>
      <c r="H48" s="253">
        <v>0</v>
      </c>
      <c r="I48" s="158">
        <f t="shared" si="20"/>
        <v>0</v>
      </c>
      <c r="J48" s="282">
        <v>0</v>
      </c>
      <c r="K48" s="284">
        <v>0</v>
      </c>
      <c r="L48" s="158">
        <f t="shared" si="21"/>
        <v>0</v>
      </c>
      <c r="M48" s="29" t="str">
        <f t="shared" si="22"/>
        <v>N/A</v>
      </c>
      <c r="N48" s="377">
        <f>Worksheet!N46</f>
        <v>0</v>
      </c>
    </row>
    <row r="49" spans="1:14" x14ac:dyDescent="0.2">
      <c r="A49" s="399"/>
      <c r="B49" s="396"/>
      <c r="C49" s="255"/>
      <c r="D49" s="397"/>
      <c r="E49" s="400"/>
      <c r="F49" s="398"/>
      <c r="G49" s="253">
        <v>0</v>
      </c>
      <c r="H49" s="253">
        <v>0</v>
      </c>
      <c r="I49" s="158">
        <f t="shared" si="20"/>
        <v>0</v>
      </c>
      <c r="J49" s="282">
        <v>0</v>
      </c>
      <c r="K49" s="284">
        <v>0</v>
      </c>
      <c r="L49" s="158">
        <f t="shared" si="21"/>
        <v>0</v>
      </c>
      <c r="M49" s="29" t="str">
        <f t="shared" si="22"/>
        <v>N/A</v>
      </c>
      <c r="N49" s="401">
        <v>0</v>
      </c>
    </row>
    <row r="50" spans="1:14" ht="13.5" thickBot="1" x14ac:dyDescent="0.25">
      <c r="A50" s="357"/>
      <c r="B50" s="354"/>
      <c r="C50" s="402" t="s">
        <v>96</v>
      </c>
      <c r="D50" s="403"/>
      <c r="E50" s="403"/>
      <c r="F50" s="404"/>
      <c r="G50" s="159">
        <f t="shared" ref="G50:L50" si="23">SUM(G43:G49)</f>
        <v>78300</v>
      </c>
      <c r="H50" s="159">
        <f t="shared" si="23"/>
        <v>35250</v>
      </c>
      <c r="I50" s="159">
        <f t="shared" si="23"/>
        <v>43050</v>
      </c>
      <c r="J50" s="159">
        <f t="shared" si="23"/>
        <v>13865</v>
      </c>
      <c r="K50" s="159">
        <f t="shared" si="23"/>
        <v>22019.950000000004</v>
      </c>
      <c r="L50" s="159">
        <f t="shared" si="23"/>
        <v>35884.950000000004</v>
      </c>
      <c r="M50" s="48">
        <f>IFERROR(L50/H50,"N/A")</f>
        <v>1.0180127659574469</v>
      </c>
      <c r="N50" s="162">
        <f>SUM(N43:N49)</f>
        <v>37056.620000000003</v>
      </c>
    </row>
    <row r="51" spans="1:14" ht="13.5" thickBot="1" x14ac:dyDescent="0.25"/>
    <row r="52" spans="1:14" s="366" customFormat="1" x14ac:dyDescent="0.2">
      <c r="A52" s="387" t="s">
        <v>98</v>
      </c>
      <c r="B52" s="388"/>
      <c r="C52" s="388"/>
      <c r="D52" s="388"/>
      <c r="E52" s="388"/>
      <c r="F52" s="389"/>
      <c r="G52" s="390"/>
      <c r="H52" s="390"/>
      <c r="I52" s="390"/>
      <c r="J52" s="390"/>
      <c r="K52" s="390"/>
      <c r="L52" s="390"/>
      <c r="M52" s="8"/>
      <c r="N52" s="7"/>
    </row>
    <row r="53" spans="1:14" s="366" customFormat="1" ht="11.25" x14ac:dyDescent="0.2">
      <c r="A53" s="391" t="s">
        <v>99</v>
      </c>
      <c r="B53" s="363"/>
      <c r="C53" s="363"/>
      <c r="D53" s="363"/>
      <c r="E53" s="363"/>
      <c r="F53" s="364"/>
      <c r="G53" s="365"/>
      <c r="H53" s="365"/>
      <c r="I53" s="365"/>
      <c r="J53" s="365"/>
      <c r="K53" s="365"/>
      <c r="L53" s="365"/>
      <c r="M53" s="14"/>
      <c r="N53" s="13"/>
    </row>
    <row r="54" spans="1:14" ht="33.75" x14ac:dyDescent="0.2">
      <c r="A54" s="392" t="s">
        <v>90</v>
      </c>
      <c r="B54" s="393"/>
      <c r="C54" s="394"/>
      <c r="D54" s="394"/>
      <c r="E54" s="394"/>
      <c r="F54" s="394"/>
      <c r="G54" s="369" t="s">
        <v>39</v>
      </c>
      <c r="H54" s="369" t="s">
        <v>40</v>
      </c>
      <c r="I54" s="369" t="s">
        <v>41</v>
      </c>
      <c r="J54" s="369" t="s">
        <v>42</v>
      </c>
      <c r="K54" s="369" t="s">
        <v>43</v>
      </c>
      <c r="L54" s="369" t="s">
        <v>44</v>
      </c>
      <c r="M54" s="40" t="s">
        <v>45</v>
      </c>
      <c r="N54" s="41" t="s">
        <v>46</v>
      </c>
    </row>
    <row r="55" spans="1:14" x14ac:dyDescent="0.2">
      <c r="A55" s="405" t="s">
        <v>100</v>
      </c>
      <c r="B55" s="406"/>
      <c r="C55" s="259"/>
      <c r="D55" s="407"/>
      <c r="E55" s="408"/>
      <c r="F55" s="398"/>
      <c r="G55" s="244">
        <f>(69.91*7)*12</f>
        <v>5872.4400000000005</v>
      </c>
      <c r="H55" s="244">
        <v>2000</v>
      </c>
      <c r="I55" s="153">
        <f>G55-H55</f>
        <v>3872.4400000000005</v>
      </c>
      <c r="J55" s="282">
        <v>2034</v>
      </c>
      <c r="K55" s="282">
        <f>2299.41-J55</f>
        <v>265.40999999999985</v>
      </c>
      <c r="L55" s="153">
        <f>SUM(J55:K55)</f>
        <v>2299.41</v>
      </c>
      <c r="M55" s="31">
        <f>IFERROR(L55/H55,"N/A")</f>
        <v>1.149705</v>
      </c>
      <c r="N55" s="377">
        <f>'CM Worksheet'!N53</f>
        <v>3966.5699999999997</v>
      </c>
    </row>
    <row r="56" spans="1:14" x14ac:dyDescent="0.2">
      <c r="A56" s="409" t="s">
        <v>102</v>
      </c>
      <c r="B56" s="406"/>
      <c r="C56" s="259"/>
      <c r="D56" s="407"/>
      <c r="E56" s="408"/>
      <c r="F56" s="398"/>
      <c r="G56" s="244">
        <f>(22.25*7)*12</f>
        <v>1869</v>
      </c>
      <c r="H56" s="244">
        <v>1500</v>
      </c>
      <c r="I56" s="158">
        <f t="shared" ref="I56:I59" si="24">G56-H56</f>
        <v>369</v>
      </c>
      <c r="J56" s="282">
        <f>1171</f>
        <v>1171</v>
      </c>
      <c r="K56" s="284">
        <f>2300.3-J56</f>
        <v>1129.3000000000002</v>
      </c>
      <c r="L56" s="158">
        <f t="shared" ref="L56:L59" si="25">SUM(J56:K56)</f>
        <v>2300.3000000000002</v>
      </c>
      <c r="M56" s="29">
        <f t="shared" ref="M56:M59" si="26">IFERROR(L56/H56,"N/A")</f>
        <v>1.5335333333333334</v>
      </c>
      <c r="N56" s="377">
        <f>'CM Worksheet'!N54</f>
        <v>1349.95</v>
      </c>
    </row>
    <row r="57" spans="1:14" x14ac:dyDescent="0.2">
      <c r="A57" s="409" t="s">
        <v>103</v>
      </c>
      <c r="B57" s="406"/>
      <c r="C57" s="259"/>
      <c r="D57" s="407"/>
      <c r="E57" s="408"/>
      <c r="F57" s="398"/>
      <c r="G57" s="253">
        <v>4020</v>
      </c>
      <c r="H57" s="253">
        <v>8110</v>
      </c>
      <c r="I57" s="164">
        <f t="shared" si="24"/>
        <v>-4090</v>
      </c>
      <c r="J57" s="283">
        <f>5073</f>
        <v>5073</v>
      </c>
      <c r="K57" s="283">
        <f>6972.38-J57</f>
        <v>1899.38</v>
      </c>
      <c r="L57" s="158">
        <f t="shared" si="25"/>
        <v>6972.38</v>
      </c>
      <c r="M57" s="29">
        <f t="shared" si="26"/>
        <v>0.85972626387176332</v>
      </c>
      <c r="N57" s="377">
        <f>'CM Worksheet'!N55</f>
        <v>32628.94</v>
      </c>
    </row>
    <row r="58" spans="1:14" x14ac:dyDescent="0.2">
      <c r="A58" s="410"/>
      <c r="B58" s="406"/>
      <c r="C58" s="259"/>
      <c r="D58" s="407"/>
      <c r="E58" s="408"/>
      <c r="F58" s="398"/>
      <c r="G58" s="253">
        <v>0</v>
      </c>
      <c r="H58" s="253">
        <v>0</v>
      </c>
      <c r="I58" s="164">
        <f t="shared" si="24"/>
        <v>0</v>
      </c>
      <c r="J58" s="283">
        <v>0</v>
      </c>
      <c r="K58" s="283">
        <v>0</v>
      </c>
      <c r="L58" s="158">
        <f t="shared" si="25"/>
        <v>0</v>
      </c>
      <c r="M58" s="29" t="str">
        <f t="shared" si="26"/>
        <v>N/A</v>
      </c>
      <c r="N58" s="377">
        <f>'CM Worksheet'!N56</f>
        <v>0</v>
      </c>
    </row>
    <row r="59" spans="1:14" x14ac:dyDescent="0.2">
      <c r="A59" s="409"/>
      <c r="B59" s="406"/>
      <c r="C59" s="259"/>
      <c r="D59" s="407"/>
      <c r="E59" s="408"/>
      <c r="F59" s="398"/>
      <c r="G59" s="253">
        <v>0</v>
      </c>
      <c r="H59" s="253">
        <v>0</v>
      </c>
      <c r="I59" s="164">
        <f t="shared" si="24"/>
        <v>0</v>
      </c>
      <c r="J59" s="283">
        <v>0</v>
      </c>
      <c r="K59" s="283">
        <v>0</v>
      </c>
      <c r="L59" s="158">
        <f t="shared" si="25"/>
        <v>0</v>
      </c>
      <c r="M59" s="29" t="str">
        <f t="shared" si="26"/>
        <v>N/A</v>
      </c>
      <c r="N59" s="401">
        <v>0</v>
      </c>
    </row>
    <row r="60" spans="1:14" ht="13.5" thickBot="1" x14ac:dyDescent="0.25">
      <c r="A60" s="357"/>
      <c r="B60" s="354"/>
      <c r="C60" s="402" t="s">
        <v>105</v>
      </c>
      <c r="D60" s="403"/>
      <c r="E60" s="403"/>
      <c r="F60" s="404"/>
      <c r="G60" s="159">
        <f t="shared" ref="G60:L60" si="27">SUM(G55:G59)</f>
        <v>11761.44</v>
      </c>
      <c r="H60" s="159">
        <f t="shared" si="27"/>
        <v>11610</v>
      </c>
      <c r="I60" s="159">
        <f t="shared" si="27"/>
        <v>151.44000000000051</v>
      </c>
      <c r="J60" s="159">
        <f t="shared" si="27"/>
        <v>8278</v>
      </c>
      <c r="K60" s="159">
        <f t="shared" si="27"/>
        <v>3294.09</v>
      </c>
      <c r="L60" s="159">
        <f t="shared" si="27"/>
        <v>11572.09</v>
      </c>
      <c r="M60" s="48">
        <f>IFERROR(L60/H60,"N/A")</f>
        <v>0.99673471145564174</v>
      </c>
      <c r="N60" s="162">
        <f>SUM(N55:N59)</f>
        <v>37945.46</v>
      </c>
    </row>
    <row r="61" spans="1:14" ht="13.5" thickBot="1" x14ac:dyDescent="0.25"/>
    <row r="62" spans="1:14" s="366" customFormat="1" x14ac:dyDescent="0.2">
      <c r="A62" s="411" t="s">
        <v>106</v>
      </c>
      <c r="B62" s="388"/>
      <c r="C62" s="388"/>
      <c r="D62" s="388"/>
      <c r="E62" s="388"/>
      <c r="F62" s="389"/>
      <c r="G62" s="390"/>
      <c r="H62" s="390"/>
      <c r="I62" s="390"/>
      <c r="J62" s="390"/>
      <c r="K62" s="390"/>
      <c r="L62" s="390"/>
      <c r="M62" s="8"/>
      <c r="N62" s="7"/>
    </row>
    <row r="63" spans="1:14" x14ac:dyDescent="0.2">
      <c r="A63" s="391" t="s">
        <v>107</v>
      </c>
      <c r="B63" s="363"/>
      <c r="C63" s="363"/>
      <c r="D63" s="363"/>
      <c r="E63" s="363"/>
      <c r="F63" s="364"/>
      <c r="G63" s="365"/>
      <c r="H63" s="365"/>
      <c r="I63" s="365"/>
      <c r="J63" s="365"/>
      <c r="K63" s="365"/>
      <c r="L63" s="365"/>
      <c r="M63" s="14"/>
      <c r="N63" s="13"/>
    </row>
    <row r="64" spans="1:14" ht="33.75" x14ac:dyDescent="0.2">
      <c r="A64" s="392" t="s">
        <v>90</v>
      </c>
      <c r="B64" s="393"/>
      <c r="C64" s="394"/>
      <c r="D64" s="394"/>
      <c r="E64" s="394"/>
      <c r="F64" s="394"/>
      <c r="G64" s="369" t="s">
        <v>39</v>
      </c>
      <c r="H64" s="369" t="s">
        <v>40</v>
      </c>
      <c r="I64" s="369" t="s">
        <v>41</v>
      </c>
      <c r="J64" s="369" t="s">
        <v>42</v>
      </c>
      <c r="K64" s="369" t="s">
        <v>43</v>
      </c>
      <c r="L64" s="369" t="s">
        <v>44</v>
      </c>
      <c r="M64" s="40" t="s">
        <v>45</v>
      </c>
      <c r="N64" s="41" t="s">
        <v>46</v>
      </c>
    </row>
    <row r="65" spans="1:14" x14ac:dyDescent="0.2">
      <c r="A65" s="405" t="s">
        <v>108</v>
      </c>
      <c r="B65" s="406"/>
      <c r="C65" s="259"/>
      <c r="D65" s="407"/>
      <c r="E65" s="408"/>
      <c r="F65" s="398"/>
      <c r="G65" s="244">
        <f>0.1129*105000</f>
        <v>11854.5</v>
      </c>
      <c r="H65" s="244">
        <v>8875</v>
      </c>
      <c r="I65" s="153">
        <f t="shared" ref="I65:I82" si="28">G65-H65</f>
        <v>2979.5</v>
      </c>
      <c r="J65" s="282">
        <f>4356</f>
        <v>4356</v>
      </c>
      <c r="K65" s="282">
        <f>9418.89-J65</f>
        <v>5062.8899999999994</v>
      </c>
      <c r="L65" s="153">
        <f>SUM(J65:K65)</f>
        <v>9418.89</v>
      </c>
      <c r="M65" s="31">
        <f>IFERROR(L65/H65,"N/A")</f>
        <v>1.0612833802816901</v>
      </c>
      <c r="N65" s="377">
        <f>'CM Worksheet'!N63</f>
        <v>5452.53</v>
      </c>
    </row>
    <row r="66" spans="1:14" x14ac:dyDescent="0.2">
      <c r="A66" s="409" t="s">
        <v>110</v>
      </c>
      <c r="B66" s="406"/>
      <c r="C66" s="259"/>
      <c r="D66" s="407"/>
      <c r="E66" s="408"/>
      <c r="F66" s="398"/>
      <c r="G66" s="244">
        <f>0.1129*57200</f>
        <v>6457.88</v>
      </c>
      <c r="H66" s="244">
        <f>3635-1400</f>
        <v>2235</v>
      </c>
      <c r="I66" s="158">
        <f t="shared" si="28"/>
        <v>4222.88</v>
      </c>
      <c r="J66" s="282">
        <f>1946</f>
        <v>1946</v>
      </c>
      <c r="K66" s="284">
        <f>2214.11-J66</f>
        <v>268.11000000000013</v>
      </c>
      <c r="L66" s="158">
        <f>SUM(J66:K66)</f>
        <v>2214.11</v>
      </c>
      <c r="M66" s="29">
        <f>IFERROR(L66/H66,"N/A")</f>
        <v>0.99065324384787479</v>
      </c>
      <c r="N66" s="377">
        <f>'CM Worksheet'!N64</f>
        <v>2942.24</v>
      </c>
    </row>
    <row r="67" spans="1:14" x14ac:dyDescent="0.2">
      <c r="A67" s="409" t="s">
        <v>111</v>
      </c>
      <c r="B67" s="406"/>
      <c r="C67" s="259"/>
      <c r="D67" s="407"/>
      <c r="E67" s="408"/>
      <c r="F67" s="398"/>
      <c r="G67" s="253">
        <f>ROUND(1950*0.1926,0)*12</f>
        <v>4512</v>
      </c>
      <c r="H67" s="244">
        <v>2110</v>
      </c>
      <c r="I67" s="153">
        <f t="shared" si="28"/>
        <v>2402</v>
      </c>
      <c r="J67" s="282">
        <f>1171+22+55</f>
        <v>1248</v>
      </c>
      <c r="K67" s="282">
        <f>2027.65+35.22-J67</f>
        <v>814.86999999999989</v>
      </c>
      <c r="L67" s="153">
        <f t="shared" ref="L67:L77" si="29">SUM(J67:K67)</f>
        <v>2062.87</v>
      </c>
      <c r="M67" s="31">
        <f t="shared" ref="M67:M77" si="30">IFERROR(L67/H67,"N/A")</f>
        <v>0.97766350710900474</v>
      </c>
      <c r="N67" s="377">
        <f>'CM Worksheet'!N65</f>
        <v>1836.1999999999998</v>
      </c>
    </row>
    <row r="68" spans="1:14" x14ac:dyDescent="0.2">
      <c r="A68" s="409" t="s">
        <v>112</v>
      </c>
      <c r="B68" s="406"/>
      <c r="C68" s="259"/>
      <c r="D68" s="407"/>
      <c r="E68" s="408"/>
      <c r="F68" s="398"/>
      <c r="G68" s="253">
        <f>2000*0.625</f>
        <v>1250</v>
      </c>
      <c r="H68" s="244">
        <v>1250</v>
      </c>
      <c r="I68" s="153">
        <f t="shared" si="28"/>
        <v>0</v>
      </c>
      <c r="J68" s="282">
        <f>820</f>
        <v>820</v>
      </c>
      <c r="K68" s="282">
        <f>621.33-J68</f>
        <v>-198.66999999999996</v>
      </c>
      <c r="L68" s="153">
        <f t="shared" si="29"/>
        <v>621.33000000000004</v>
      </c>
      <c r="M68" s="31">
        <f t="shared" si="30"/>
        <v>0.49706400000000001</v>
      </c>
      <c r="N68" s="377">
        <f>'CM Worksheet'!N66</f>
        <v>1722.97</v>
      </c>
    </row>
    <row r="69" spans="1:14" x14ac:dyDescent="0.2">
      <c r="A69" s="409" t="s">
        <v>114</v>
      </c>
      <c r="B69" s="406"/>
      <c r="C69" s="259"/>
      <c r="D69" s="407"/>
      <c r="E69" s="408"/>
      <c r="F69" s="398"/>
      <c r="G69" s="253">
        <f>(50*7)*12</f>
        <v>4200</v>
      </c>
      <c r="H69" s="244">
        <f>3600-1700</f>
        <v>1900</v>
      </c>
      <c r="I69" s="153">
        <f t="shared" si="28"/>
        <v>2300</v>
      </c>
      <c r="J69" s="282">
        <v>1500</v>
      </c>
      <c r="K69" s="282">
        <f>1914.5-J69</f>
        <v>414.5</v>
      </c>
      <c r="L69" s="153">
        <f t="shared" si="29"/>
        <v>1914.5</v>
      </c>
      <c r="M69" s="31">
        <f t="shared" si="30"/>
        <v>1.0076315789473684</v>
      </c>
      <c r="N69" s="377">
        <f>'CM Worksheet'!N67</f>
        <v>3098</v>
      </c>
    </row>
    <row r="70" spans="1:14" x14ac:dyDescent="0.2">
      <c r="A70" s="409" t="s">
        <v>116</v>
      </c>
      <c r="B70" s="406"/>
      <c r="C70" s="259"/>
      <c r="D70" s="407"/>
      <c r="E70" s="408"/>
      <c r="F70" s="398"/>
      <c r="G70" s="253">
        <f>4500*12</f>
        <v>54000</v>
      </c>
      <c r="H70" s="253">
        <v>0</v>
      </c>
      <c r="I70" s="164">
        <f t="shared" si="28"/>
        <v>54000</v>
      </c>
      <c r="J70" s="283">
        <v>0</v>
      </c>
      <c r="K70" s="283">
        <f>0</f>
        <v>0</v>
      </c>
      <c r="L70" s="158">
        <f t="shared" si="29"/>
        <v>0</v>
      </c>
      <c r="M70" s="29" t="str">
        <f t="shared" si="30"/>
        <v>N/A</v>
      </c>
      <c r="N70" s="377">
        <f>'CM Worksheet'!N68</f>
        <v>29587.960000000003</v>
      </c>
    </row>
    <row r="71" spans="1:14" x14ac:dyDescent="0.2">
      <c r="A71" s="409" t="s">
        <v>117</v>
      </c>
      <c r="B71" s="406"/>
      <c r="C71" s="259"/>
      <c r="D71" s="407"/>
      <c r="E71" s="408"/>
      <c r="F71" s="398"/>
      <c r="G71" s="253">
        <v>360</v>
      </c>
      <c r="H71" s="253">
        <v>0</v>
      </c>
      <c r="I71" s="164">
        <f t="shared" si="28"/>
        <v>360</v>
      </c>
      <c r="J71" s="283">
        <v>0</v>
      </c>
      <c r="K71" s="283">
        <f>0</f>
        <v>0</v>
      </c>
      <c r="L71" s="158">
        <f t="shared" si="29"/>
        <v>0</v>
      </c>
      <c r="M71" s="29" t="str">
        <f t="shared" si="30"/>
        <v>N/A</v>
      </c>
      <c r="N71" s="377">
        <f>'CM Worksheet'!N69</f>
        <v>793.8</v>
      </c>
    </row>
    <row r="72" spans="1:14" x14ac:dyDescent="0.2">
      <c r="A72" s="409" t="s">
        <v>118</v>
      </c>
      <c r="B72" s="406"/>
      <c r="C72" s="259"/>
      <c r="D72" s="407"/>
      <c r="E72" s="408"/>
      <c r="F72" s="398"/>
      <c r="G72" s="253">
        <v>240</v>
      </c>
      <c r="H72" s="253">
        <v>0</v>
      </c>
      <c r="I72" s="164">
        <f t="shared" si="28"/>
        <v>240</v>
      </c>
      <c r="J72" s="283">
        <v>0</v>
      </c>
      <c r="K72" s="283">
        <f>0</f>
        <v>0</v>
      </c>
      <c r="L72" s="158">
        <f t="shared" si="29"/>
        <v>0</v>
      </c>
      <c r="M72" s="29" t="str">
        <f t="shared" si="30"/>
        <v>N/A</v>
      </c>
      <c r="N72" s="377">
        <f>'CM Worksheet'!N70</f>
        <v>537.27</v>
      </c>
    </row>
    <row r="73" spans="1:14" x14ac:dyDescent="0.2">
      <c r="A73" s="409" t="s">
        <v>119</v>
      </c>
      <c r="B73" s="406"/>
      <c r="C73" s="259"/>
      <c r="D73" s="407"/>
      <c r="E73" s="408"/>
      <c r="F73" s="398"/>
      <c r="G73" s="253">
        <f>(53.39*7)*12</f>
        <v>4484.76</v>
      </c>
      <c r="H73" s="253">
        <v>3470</v>
      </c>
      <c r="I73" s="164">
        <f t="shared" si="28"/>
        <v>1014.7600000000002</v>
      </c>
      <c r="J73" s="283">
        <v>1460</v>
      </c>
      <c r="K73" s="283">
        <f>2031.63-J73</f>
        <v>571.63000000000011</v>
      </c>
      <c r="L73" s="158">
        <f t="shared" si="29"/>
        <v>2031.63</v>
      </c>
      <c r="M73" s="29">
        <f t="shared" si="30"/>
        <v>0.5854841498559078</v>
      </c>
      <c r="N73" s="377">
        <f>'CM Worksheet'!N71</f>
        <v>3510.7499999999995</v>
      </c>
    </row>
    <row r="74" spans="1:14" x14ac:dyDescent="0.2">
      <c r="A74" s="409" t="s">
        <v>120</v>
      </c>
      <c r="B74" s="406"/>
      <c r="C74" s="259"/>
      <c r="D74" s="407"/>
      <c r="E74" s="408"/>
      <c r="F74" s="398"/>
      <c r="G74" s="253">
        <v>950</v>
      </c>
      <c r="H74" s="253">
        <v>950</v>
      </c>
      <c r="I74" s="164">
        <f t="shared" si="28"/>
        <v>0</v>
      </c>
      <c r="J74" s="283">
        <f>579</f>
        <v>579</v>
      </c>
      <c r="K74" s="283">
        <f>1225.47-J74</f>
        <v>646.47</v>
      </c>
      <c r="L74" s="158">
        <f t="shared" si="29"/>
        <v>1225.47</v>
      </c>
      <c r="M74" s="29">
        <f t="shared" si="30"/>
        <v>1.2899684210526317</v>
      </c>
      <c r="N74" s="377">
        <f>'CM Worksheet'!N72</f>
        <v>646.41</v>
      </c>
    </row>
    <row r="75" spans="1:14" x14ac:dyDescent="0.2">
      <c r="A75" s="409" t="s">
        <v>121</v>
      </c>
      <c r="B75" s="406"/>
      <c r="C75" s="259"/>
      <c r="D75" s="407"/>
      <c r="E75" s="408"/>
      <c r="F75" s="398"/>
      <c r="G75" s="253">
        <v>3000</v>
      </c>
      <c r="H75" s="253">
        <v>3000</v>
      </c>
      <c r="I75" s="164">
        <f t="shared" si="28"/>
        <v>0</v>
      </c>
      <c r="J75" s="283">
        <f>2626</f>
        <v>2626</v>
      </c>
      <c r="K75" s="283">
        <f>2875.09+154.91-J75</f>
        <v>404</v>
      </c>
      <c r="L75" s="158">
        <f t="shared" si="29"/>
        <v>3030</v>
      </c>
      <c r="M75" s="29">
        <f t="shared" si="30"/>
        <v>1.01</v>
      </c>
      <c r="N75" s="377">
        <f>'CM Worksheet'!N73</f>
        <v>3125.81</v>
      </c>
    </row>
    <row r="76" spans="1:14" x14ac:dyDescent="0.2">
      <c r="A76" s="409" t="s">
        <v>123</v>
      </c>
      <c r="B76" s="406"/>
      <c r="C76" s="259"/>
      <c r="D76" s="407"/>
      <c r="E76" s="408"/>
      <c r="F76" s="398"/>
      <c r="G76" s="253">
        <v>1200</v>
      </c>
      <c r="H76" s="244">
        <v>300</v>
      </c>
      <c r="I76" s="153">
        <f t="shared" si="28"/>
        <v>900</v>
      </c>
      <c r="J76" s="282">
        <v>0</v>
      </c>
      <c r="K76" s="282">
        <f>294-J76</f>
        <v>294</v>
      </c>
      <c r="L76" s="153">
        <f t="shared" si="29"/>
        <v>294</v>
      </c>
      <c r="M76" s="31">
        <f t="shared" si="30"/>
        <v>0.98</v>
      </c>
      <c r="N76" s="377">
        <f>'CM Worksheet'!N74</f>
        <v>186.03</v>
      </c>
    </row>
    <row r="77" spans="1:14" x14ac:dyDescent="0.2">
      <c r="A77" s="409" t="s">
        <v>124</v>
      </c>
      <c r="B77" s="406"/>
      <c r="C77" s="259"/>
      <c r="D77" s="407"/>
      <c r="E77" s="408"/>
      <c r="F77" s="398"/>
      <c r="G77" s="268">
        <v>2100</v>
      </c>
      <c r="H77" s="244">
        <v>1500</v>
      </c>
      <c r="I77" s="158">
        <f t="shared" si="28"/>
        <v>600</v>
      </c>
      <c r="J77" s="282">
        <f>809</f>
        <v>809</v>
      </c>
      <c r="K77" s="284">
        <f>1451.84-J77</f>
        <v>642.83999999999992</v>
      </c>
      <c r="L77" s="158">
        <f t="shared" si="29"/>
        <v>1451.84</v>
      </c>
      <c r="M77" s="29">
        <f t="shared" si="30"/>
        <v>0.96789333333333327</v>
      </c>
      <c r="N77" s="377">
        <f>'CM Worksheet'!N75</f>
        <v>1004.5</v>
      </c>
    </row>
    <row r="78" spans="1:14" x14ac:dyDescent="0.2">
      <c r="A78" s="412" t="s">
        <v>125</v>
      </c>
      <c r="B78" s="406"/>
      <c r="C78" s="259"/>
      <c r="D78" s="407"/>
      <c r="E78" s="408"/>
      <c r="F78" s="398"/>
      <c r="G78" s="253">
        <v>575</v>
      </c>
      <c r="H78" s="244">
        <v>550</v>
      </c>
      <c r="I78" s="153">
        <f t="shared" si="28"/>
        <v>25</v>
      </c>
      <c r="J78" s="282">
        <v>0</v>
      </c>
      <c r="K78" s="282">
        <f>0</f>
        <v>0</v>
      </c>
      <c r="L78" s="153">
        <f t="shared" ref="L78:L82" si="31">SUM(J78:K78)</f>
        <v>0</v>
      </c>
      <c r="M78" s="31">
        <f t="shared" ref="M78:M82" si="32">IFERROR(L78/H78,"N/A")</f>
        <v>0</v>
      </c>
      <c r="N78" s="377">
        <f>'CM Worksheet'!N76</f>
        <v>0</v>
      </c>
    </row>
    <row r="79" spans="1:14" x14ac:dyDescent="0.2">
      <c r="A79" s="412" t="s">
        <v>126</v>
      </c>
      <c r="B79" s="406"/>
      <c r="C79" s="259"/>
      <c r="D79" s="407"/>
      <c r="E79" s="408"/>
      <c r="F79" s="398"/>
      <c r="G79" s="253">
        <v>4000</v>
      </c>
      <c r="H79" s="244">
        <f>4000-1500</f>
        <v>2500</v>
      </c>
      <c r="I79" s="153">
        <f t="shared" si="28"/>
        <v>1500</v>
      </c>
      <c r="J79" s="282">
        <v>788</v>
      </c>
      <c r="K79" s="282">
        <f>1049.52+1500-J79</f>
        <v>1761.52</v>
      </c>
      <c r="L79" s="153">
        <f t="shared" si="31"/>
        <v>2549.52</v>
      </c>
      <c r="M79" s="31">
        <f t="shared" si="32"/>
        <v>1.019808</v>
      </c>
      <c r="N79" s="377">
        <f>'CM Worksheet'!N77</f>
        <v>1142.99</v>
      </c>
    </row>
    <row r="80" spans="1:14" x14ac:dyDescent="0.2">
      <c r="A80" s="409" t="s">
        <v>127</v>
      </c>
      <c r="B80" s="406"/>
      <c r="C80" s="265"/>
      <c r="D80" s="413"/>
      <c r="E80" s="414"/>
      <c r="F80" s="398"/>
      <c r="G80" s="253">
        <v>1500</v>
      </c>
      <c r="H80" s="244">
        <v>1100</v>
      </c>
      <c r="I80" s="153">
        <f t="shared" ref="I80:I81" si="33">G80-H80</f>
        <v>400</v>
      </c>
      <c r="J80" s="282">
        <f>1084</f>
        <v>1084</v>
      </c>
      <c r="K80" s="282">
        <f>661.78-J80</f>
        <v>-422.22</v>
      </c>
      <c r="L80" s="153">
        <f t="shared" ref="L80:L81" si="34">SUM(J80:K80)</f>
        <v>661.78</v>
      </c>
      <c r="M80" s="31">
        <f t="shared" ref="M80:M81" si="35">IFERROR(L80/H80,"N/A")</f>
        <v>0.60161818181818183</v>
      </c>
      <c r="N80" s="377">
        <f>'CM Worksheet'!N78</f>
        <v>1417.01</v>
      </c>
    </row>
    <row r="81" spans="1:14" x14ac:dyDescent="0.2">
      <c r="A81" s="412"/>
      <c r="B81" s="406"/>
      <c r="C81" s="265"/>
      <c r="D81" s="413"/>
      <c r="E81" s="414"/>
      <c r="F81" s="398"/>
      <c r="G81" s="253">
        <v>0</v>
      </c>
      <c r="H81" s="244">
        <v>0</v>
      </c>
      <c r="I81" s="153">
        <f t="shared" si="33"/>
        <v>0</v>
      </c>
      <c r="J81" s="282">
        <v>0</v>
      </c>
      <c r="K81" s="282">
        <v>0</v>
      </c>
      <c r="L81" s="153">
        <f t="shared" si="34"/>
        <v>0</v>
      </c>
      <c r="M81" s="31" t="str">
        <f t="shared" si="35"/>
        <v>N/A</v>
      </c>
      <c r="N81" s="377">
        <f>'CM Worksheet'!N79</f>
        <v>0</v>
      </c>
    </row>
    <row r="82" spans="1:14" x14ac:dyDescent="0.2">
      <c r="A82" s="409"/>
      <c r="B82" s="406"/>
      <c r="C82" s="265"/>
      <c r="D82" s="413"/>
      <c r="E82" s="414"/>
      <c r="F82" s="398"/>
      <c r="G82" s="253">
        <v>0</v>
      </c>
      <c r="H82" s="244">
        <v>0</v>
      </c>
      <c r="I82" s="153">
        <f t="shared" si="28"/>
        <v>0</v>
      </c>
      <c r="J82" s="282">
        <v>0</v>
      </c>
      <c r="K82" s="282">
        <v>0</v>
      </c>
      <c r="L82" s="153">
        <f t="shared" si="31"/>
        <v>0</v>
      </c>
      <c r="M82" s="31" t="str">
        <f t="shared" si="32"/>
        <v>N/A</v>
      </c>
      <c r="N82" s="415">
        <v>0</v>
      </c>
    </row>
    <row r="83" spans="1:14" ht="13.5" thickBot="1" x14ac:dyDescent="0.25">
      <c r="A83" s="357"/>
      <c r="B83" s="354"/>
      <c r="C83" s="402" t="s">
        <v>128</v>
      </c>
      <c r="D83" s="403"/>
      <c r="E83" s="403"/>
      <c r="F83" s="404"/>
      <c r="G83" s="159">
        <f t="shared" ref="G83:L83" si="36">SUM(G65:G82)</f>
        <v>100684.14</v>
      </c>
      <c r="H83" s="159">
        <f t="shared" si="36"/>
        <v>29740</v>
      </c>
      <c r="I83" s="159">
        <f t="shared" si="36"/>
        <v>70944.14</v>
      </c>
      <c r="J83" s="159">
        <f t="shared" si="36"/>
        <v>17216</v>
      </c>
      <c r="K83" s="159">
        <f t="shared" si="36"/>
        <v>10259.94</v>
      </c>
      <c r="L83" s="159">
        <f t="shared" si="36"/>
        <v>27475.94</v>
      </c>
      <c r="M83" s="48">
        <f>IFERROR(L83/H83,"N/A")</f>
        <v>0.92387155346334893</v>
      </c>
      <c r="N83" s="162">
        <f>SUM(N65:N82)</f>
        <v>57004.47</v>
      </c>
    </row>
    <row r="84" spans="1:14" ht="13.5" thickBot="1" x14ac:dyDescent="0.25"/>
    <row r="85" spans="1:14" s="366" customFormat="1" x14ac:dyDescent="0.2">
      <c r="A85" s="387" t="s">
        <v>129</v>
      </c>
      <c r="B85" s="388"/>
      <c r="C85" s="388"/>
      <c r="D85" s="388"/>
      <c r="E85" s="388"/>
      <c r="F85" s="389"/>
      <c r="G85" s="390"/>
      <c r="H85" s="390"/>
      <c r="I85" s="390"/>
      <c r="J85" s="390"/>
      <c r="K85" s="390"/>
      <c r="L85" s="390"/>
      <c r="M85" s="8"/>
      <c r="N85" s="7"/>
    </row>
    <row r="86" spans="1:14" x14ac:dyDescent="0.2">
      <c r="A86" s="391" t="s">
        <v>130</v>
      </c>
      <c r="B86" s="363"/>
      <c r="C86" s="363"/>
      <c r="D86" s="363"/>
      <c r="E86" s="363"/>
      <c r="F86" s="364"/>
      <c r="G86" s="365"/>
      <c r="H86" s="365"/>
      <c r="I86" s="365"/>
      <c r="J86" s="365"/>
      <c r="K86" s="365"/>
      <c r="L86" s="365"/>
      <c r="M86" s="14"/>
      <c r="N86" s="13"/>
    </row>
    <row r="87" spans="1:14" ht="33.75" x14ac:dyDescent="0.2">
      <c r="A87" s="392" t="s">
        <v>90</v>
      </c>
      <c r="B87" s="393"/>
      <c r="C87" s="394"/>
      <c r="D87" s="394"/>
      <c r="E87" s="394"/>
      <c r="F87" s="394"/>
      <c r="G87" s="369" t="s">
        <v>39</v>
      </c>
      <c r="H87" s="369" t="s">
        <v>40</v>
      </c>
      <c r="I87" s="369" t="s">
        <v>41</v>
      </c>
      <c r="J87" s="369" t="s">
        <v>42</v>
      </c>
      <c r="K87" s="369" t="s">
        <v>43</v>
      </c>
      <c r="L87" s="369" t="s">
        <v>44</v>
      </c>
      <c r="M87" s="40" t="s">
        <v>45</v>
      </c>
      <c r="N87" s="41" t="s">
        <v>46</v>
      </c>
    </row>
    <row r="88" spans="1:14" x14ac:dyDescent="0.2">
      <c r="A88" s="405"/>
      <c r="B88" s="406"/>
      <c r="C88" s="259"/>
      <c r="D88" s="407"/>
      <c r="E88" s="408"/>
      <c r="F88" s="398"/>
      <c r="G88" s="244">
        <v>0</v>
      </c>
      <c r="H88" s="244">
        <v>0</v>
      </c>
      <c r="I88" s="153">
        <f t="shared" ref="I88:I90" si="37">G88-H88</f>
        <v>0</v>
      </c>
      <c r="J88" s="282">
        <v>0</v>
      </c>
      <c r="K88" s="282">
        <v>0</v>
      </c>
      <c r="L88" s="153">
        <f>SUM(J88:K88)</f>
        <v>0</v>
      </c>
      <c r="M88" s="31" t="str">
        <f>IFERROR(L88/H88,"N/A")</f>
        <v>N/A</v>
      </c>
      <c r="N88" s="377">
        <f>Worksheet!N86</f>
        <v>0</v>
      </c>
    </row>
    <row r="89" spans="1:14" x14ac:dyDescent="0.2">
      <c r="A89" s="409"/>
      <c r="B89" s="406"/>
      <c r="C89" s="259"/>
      <c r="D89" s="407"/>
      <c r="E89" s="408"/>
      <c r="F89" s="398"/>
      <c r="G89" s="244">
        <v>0</v>
      </c>
      <c r="H89" s="244">
        <v>0</v>
      </c>
      <c r="I89" s="153">
        <f t="shared" si="37"/>
        <v>0</v>
      </c>
      <c r="J89" s="282">
        <v>0</v>
      </c>
      <c r="K89" s="282">
        <v>0</v>
      </c>
      <c r="L89" s="153">
        <f t="shared" ref="L89:L90" si="38">SUM(J89:K89)</f>
        <v>0</v>
      </c>
      <c r="M89" s="31" t="str">
        <f t="shared" ref="M89:M90" si="39">IFERROR(L89/H89,"N/A")</f>
        <v>N/A</v>
      </c>
      <c r="N89" s="377">
        <f>Worksheet!N87</f>
        <v>0</v>
      </c>
    </row>
    <row r="90" spans="1:14" x14ac:dyDescent="0.2">
      <c r="A90" s="409"/>
      <c r="B90" s="406"/>
      <c r="C90" s="259"/>
      <c r="D90" s="407"/>
      <c r="E90" s="408"/>
      <c r="F90" s="398"/>
      <c r="G90" s="244">
        <v>0</v>
      </c>
      <c r="H90" s="244">
        <v>0</v>
      </c>
      <c r="I90" s="153">
        <f t="shared" si="37"/>
        <v>0</v>
      </c>
      <c r="J90" s="282">
        <v>0</v>
      </c>
      <c r="K90" s="282">
        <v>0</v>
      </c>
      <c r="L90" s="153">
        <f t="shared" si="38"/>
        <v>0</v>
      </c>
      <c r="M90" s="31" t="str">
        <f t="shared" si="39"/>
        <v>N/A</v>
      </c>
      <c r="N90" s="377">
        <f>Worksheet!N88</f>
        <v>0</v>
      </c>
    </row>
    <row r="91" spans="1:14" ht="13.5" thickBot="1" x14ac:dyDescent="0.25">
      <c r="A91" s="357"/>
      <c r="B91" s="354"/>
      <c r="C91" s="402" t="s">
        <v>131</v>
      </c>
      <c r="D91" s="403"/>
      <c r="E91" s="403"/>
      <c r="F91" s="404"/>
      <c r="G91" s="159">
        <f t="shared" ref="G91:L91" si="40">SUM(G88:G90)</f>
        <v>0</v>
      </c>
      <c r="H91" s="159">
        <f t="shared" si="40"/>
        <v>0</v>
      </c>
      <c r="I91" s="159">
        <f t="shared" si="40"/>
        <v>0</v>
      </c>
      <c r="J91" s="159">
        <f t="shared" si="40"/>
        <v>0</v>
      </c>
      <c r="K91" s="159">
        <f t="shared" si="40"/>
        <v>0</v>
      </c>
      <c r="L91" s="159">
        <f t="shared" si="40"/>
        <v>0</v>
      </c>
      <c r="M91" s="48" t="str">
        <f>IFERROR(L91/H91,"N/A")</f>
        <v>N/A</v>
      </c>
      <c r="N91" s="162">
        <f>SUM(N88:N90)</f>
        <v>0</v>
      </c>
    </row>
    <row r="92" spans="1:14" ht="13.5" thickBot="1" x14ac:dyDescent="0.25"/>
    <row r="93" spans="1:14" s="366" customFormat="1" x14ac:dyDescent="0.2">
      <c r="A93" s="387" t="s">
        <v>132</v>
      </c>
      <c r="B93" s="388"/>
      <c r="C93" s="388"/>
      <c r="D93" s="388"/>
      <c r="E93" s="388"/>
      <c r="F93" s="389"/>
      <c r="G93" s="390"/>
      <c r="H93" s="390"/>
      <c r="I93" s="390"/>
      <c r="J93" s="390"/>
      <c r="K93" s="390"/>
      <c r="L93" s="390"/>
      <c r="M93" s="8"/>
      <c r="N93" s="7"/>
    </row>
    <row r="94" spans="1:14" x14ac:dyDescent="0.2">
      <c r="A94" s="391" t="s">
        <v>133</v>
      </c>
      <c r="B94" s="363"/>
      <c r="C94" s="363"/>
      <c r="D94" s="363"/>
      <c r="E94" s="363"/>
      <c r="F94" s="364"/>
      <c r="G94" s="365"/>
      <c r="H94" s="365"/>
      <c r="I94" s="365"/>
      <c r="J94" s="365"/>
      <c r="K94" s="365"/>
      <c r="L94" s="365"/>
      <c r="M94" s="14"/>
      <c r="N94" s="13"/>
    </row>
    <row r="95" spans="1:14" ht="33.75" x14ac:dyDescent="0.2">
      <c r="A95" s="392" t="s">
        <v>90</v>
      </c>
      <c r="B95" s="393"/>
      <c r="C95" s="394"/>
      <c r="D95" s="394"/>
      <c r="E95" s="394"/>
      <c r="F95" s="394"/>
      <c r="G95" s="369" t="s">
        <v>39</v>
      </c>
      <c r="H95" s="369" t="s">
        <v>40</v>
      </c>
      <c r="I95" s="369" t="s">
        <v>41</v>
      </c>
      <c r="J95" s="369" t="s">
        <v>42</v>
      </c>
      <c r="K95" s="369" t="s">
        <v>43</v>
      </c>
      <c r="L95" s="369" t="s">
        <v>44</v>
      </c>
      <c r="M95" s="40" t="s">
        <v>45</v>
      </c>
      <c r="N95" s="41" t="s">
        <v>46</v>
      </c>
    </row>
    <row r="96" spans="1:14" x14ac:dyDescent="0.2">
      <c r="A96" s="405"/>
      <c r="B96" s="406"/>
      <c r="C96" s="259"/>
      <c r="D96" s="407"/>
      <c r="E96" s="408"/>
      <c r="F96" s="398"/>
      <c r="G96" s="244">
        <v>0</v>
      </c>
      <c r="H96" s="244">
        <v>0</v>
      </c>
      <c r="I96" s="153">
        <f t="shared" ref="I96:I98" si="41">G96-H96</f>
        <v>0</v>
      </c>
      <c r="J96" s="282">
        <v>0</v>
      </c>
      <c r="K96" s="282">
        <v>0</v>
      </c>
      <c r="L96" s="153">
        <f>SUM(J96:K96)</f>
        <v>0</v>
      </c>
      <c r="M96" s="31" t="str">
        <f>IFERROR(L96/H96,"N/A")</f>
        <v>N/A</v>
      </c>
      <c r="N96" s="377">
        <f>Worksheet!N94</f>
        <v>0</v>
      </c>
    </row>
    <row r="97" spans="1:14" x14ac:dyDescent="0.2">
      <c r="A97" s="409"/>
      <c r="B97" s="406"/>
      <c r="C97" s="259"/>
      <c r="D97" s="407"/>
      <c r="E97" s="408"/>
      <c r="F97" s="398"/>
      <c r="G97" s="244">
        <v>0</v>
      </c>
      <c r="H97" s="244">
        <v>0</v>
      </c>
      <c r="I97" s="153">
        <f t="shared" si="41"/>
        <v>0</v>
      </c>
      <c r="J97" s="282">
        <v>0</v>
      </c>
      <c r="K97" s="282">
        <v>0</v>
      </c>
      <c r="L97" s="153">
        <f t="shared" ref="L97:L98" si="42">SUM(J97:K97)</f>
        <v>0</v>
      </c>
      <c r="M97" s="31" t="str">
        <f t="shared" ref="M97:M98" si="43">IFERROR(L97/H97,"N/A")</f>
        <v>N/A</v>
      </c>
      <c r="N97" s="377">
        <f>Worksheet!N95</f>
        <v>0</v>
      </c>
    </row>
    <row r="98" spans="1:14" x14ac:dyDescent="0.2">
      <c r="A98" s="409"/>
      <c r="B98" s="406"/>
      <c r="C98" s="259"/>
      <c r="D98" s="407"/>
      <c r="E98" s="408"/>
      <c r="F98" s="398"/>
      <c r="G98" s="244">
        <v>0</v>
      </c>
      <c r="H98" s="244">
        <v>0</v>
      </c>
      <c r="I98" s="153">
        <f t="shared" si="41"/>
        <v>0</v>
      </c>
      <c r="J98" s="282">
        <v>0</v>
      </c>
      <c r="K98" s="282">
        <v>0</v>
      </c>
      <c r="L98" s="153">
        <f t="shared" si="42"/>
        <v>0</v>
      </c>
      <c r="M98" s="31" t="str">
        <f t="shared" si="43"/>
        <v>N/A</v>
      </c>
      <c r="N98" s="377">
        <f>Worksheet!N96</f>
        <v>0</v>
      </c>
    </row>
    <row r="99" spans="1:14" ht="13.5" thickBot="1" x14ac:dyDescent="0.25">
      <c r="A99" s="357"/>
      <c r="B99" s="354"/>
      <c r="C99" s="402" t="s">
        <v>134</v>
      </c>
      <c r="D99" s="403"/>
      <c r="E99" s="403"/>
      <c r="F99" s="404"/>
      <c r="G99" s="159">
        <f t="shared" ref="G99:L99" si="44">SUM(G96:G98)</f>
        <v>0</v>
      </c>
      <c r="H99" s="159">
        <f t="shared" si="44"/>
        <v>0</v>
      </c>
      <c r="I99" s="159">
        <f t="shared" si="44"/>
        <v>0</v>
      </c>
      <c r="J99" s="159">
        <f t="shared" si="44"/>
        <v>0</v>
      </c>
      <c r="K99" s="159">
        <f t="shared" si="44"/>
        <v>0</v>
      </c>
      <c r="L99" s="159">
        <f t="shared" si="44"/>
        <v>0</v>
      </c>
      <c r="M99" s="48" t="str">
        <f>IFERROR(L99/H99,"N/A")</f>
        <v>N/A</v>
      </c>
      <c r="N99" s="162">
        <f>SUM(N96:N98)</f>
        <v>0</v>
      </c>
    </row>
    <row r="100" spans="1:14" ht="13.5" thickBot="1" x14ac:dyDescent="0.25"/>
    <row r="101" spans="1:14" s="366" customFormat="1" x14ac:dyDescent="0.2">
      <c r="A101" s="387" t="s">
        <v>135</v>
      </c>
      <c r="B101" s="388"/>
      <c r="C101" s="388"/>
      <c r="D101" s="388"/>
      <c r="E101" s="388"/>
      <c r="F101" s="389"/>
      <c r="G101" s="390"/>
      <c r="H101" s="390"/>
      <c r="I101" s="390"/>
      <c r="J101" s="390"/>
      <c r="K101" s="390"/>
      <c r="L101" s="390"/>
      <c r="M101" s="8"/>
      <c r="N101" s="7"/>
    </row>
    <row r="102" spans="1:14" s="366" customFormat="1" ht="11.25" x14ac:dyDescent="0.2">
      <c r="A102" s="391" t="s">
        <v>136</v>
      </c>
      <c r="B102" s="416"/>
      <c r="C102" s="416"/>
      <c r="D102" s="416"/>
      <c r="E102" s="416"/>
      <c r="F102" s="364"/>
      <c r="G102" s="364"/>
      <c r="H102" s="364"/>
      <c r="I102" s="364"/>
      <c r="J102" s="364"/>
      <c r="K102" s="364"/>
      <c r="L102" s="364"/>
      <c r="M102" s="121"/>
      <c r="N102" s="417"/>
    </row>
    <row r="103" spans="1:14" s="366" customFormat="1" ht="11.25" x14ac:dyDescent="0.2">
      <c r="A103" s="418" t="s">
        <v>137</v>
      </c>
      <c r="B103" s="416"/>
      <c r="C103" s="416"/>
      <c r="D103" s="416"/>
      <c r="E103" s="416"/>
      <c r="F103" s="364"/>
      <c r="G103" s="364"/>
      <c r="H103" s="364"/>
      <c r="I103" s="364"/>
      <c r="J103" s="364"/>
      <c r="K103" s="364"/>
      <c r="L103" s="364"/>
      <c r="M103" s="121"/>
      <c r="N103" s="417"/>
    </row>
    <row r="104" spans="1:14" s="366" customFormat="1" ht="11.25" x14ac:dyDescent="0.2">
      <c r="A104" s="418" t="s">
        <v>138</v>
      </c>
      <c r="B104" s="416"/>
      <c r="C104" s="416"/>
      <c r="D104" s="416"/>
      <c r="E104" s="416"/>
      <c r="F104" s="416"/>
      <c r="G104" s="54"/>
      <c r="H104" s="54"/>
      <c r="I104" s="54"/>
      <c r="J104" s="54"/>
      <c r="K104" s="54"/>
      <c r="L104" s="54"/>
      <c r="M104" s="55"/>
      <c r="N104" s="56"/>
    </row>
    <row r="105" spans="1:14" ht="34.5" thickBot="1" x14ac:dyDescent="0.25">
      <c r="A105" s="392" t="s">
        <v>90</v>
      </c>
      <c r="B105" s="393"/>
      <c r="C105" s="394"/>
      <c r="D105" s="394"/>
      <c r="E105" s="394"/>
      <c r="F105" s="394"/>
      <c r="G105" s="369" t="s">
        <v>39</v>
      </c>
      <c r="H105" s="369" t="s">
        <v>40</v>
      </c>
      <c r="I105" s="369" t="s">
        <v>41</v>
      </c>
      <c r="J105" s="369" t="s">
        <v>42</v>
      </c>
      <c r="K105" s="369" t="s">
        <v>43</v>
      </c>
      <c r="L105" s="369" t="s">
        <v>44</v>
      </c>
      <c r="M105" s="40" t="s">
        <v>45</v>
      </c>
      <c r="N105" s="41" t="s">
        <v>46</v>
      </c>
    </row>
    <row r="106" spans="1:14" ht="13.5" thickBot="1" x14ac:dyDescent="0.25">
      <c r="A106" s="419" t="s">
        <v>139</v>
      </c>
      <c r="B106" s="420"/>
      <c r="C106" s="271"/>
      <c r="D106" s="398"/>
      <c r="E106" s="421" t="s">
        <v>140</v>
      </c>
      <c r="F106" s="422">
        <f>IFERROR(H108/H110,"N/A")</f>
        <v>0.10780983821646616</v>
      </c>
      <c r="G106" s="253">
        <f>G38*0.15</f>
        <v>78300</v>
      </c>
      <c r="H106" s="253">
        <v>38208.75</v>
      </c>
      <c r="I106" s="164">
        <f>G106-H106</f>
        <v>40091.25</v>
      </c>
      <c r="J106" s="283">
        <v>19104</v>
      </c>
      <c r="K106" s="283">
        <f>38209-J106</f>
        <v>19105</v>
      </c>
      <c r="L106" s="153">
        <f>SUM(J106:K106)</f>
        <v>38209</v>
      </c>
      <c r="M106" s="31">
        <f>IFERROR(L106/H106,"N/A")</f>
        <v>1.0000065430038931</v>
      </c>
      <c r="N106" s="377">
        <f>'CM Worksheet'!N104</f>
        <v>32010</v>
      </c>
    </row>
    <row r="107" spans="1:14" ht="13.5" thickBot="1" x14ac:dyDescent="0.25">
      <c r="A107" s="423"/>
      <c r="B107" s="420"/>
      <c r="C107" s="273"/>
      <c r="D107" s="398"/>
      <c r="E107" s="421" t="s">
        <v>140</v>
      </c>
      <c r="F107" s="422" t="str">
        <f>IFERROR(H109/H111,"N/A")</f>
        <v>N/A</v>
      </c>
      <c r="G107" s="253">
        <v>0</v>
      </c>
      <c r="H107" s="253">
        <v>0</v>
      </c>
      <c r="I107" s="164">
        <f t="shared" ref="I107" si="45">G107-H107</f>
        <v>0</v>
      </c>
      <c r="J107" s="283">
        <v>0</v>
      </c>
      <c r="K107" s="283">
        <v>0</v>
      </c>
      <c r="L107" s="164">
        <f>SUM(J107:K107)</f>
        <v>0</v>
      </c>
      <c r="M107" s="39" t="str">
        <f>IFERROR(L107/H107,"N/A")</f>
        <v>N/A</v>
      </c>
      <c r="N107" s="377">
        <f>Worksheet!N105</f>
        <v>0</v>
      </c>
    </row>
    <row r="108" spans="1:14" ht="13.5" thickBot="1" x14ac:dyDescent="0.25">
      <c r="A108" s="357"/>
      <c r="B108" s="354"/>
      <c r="C108" s="402" t="s">
        <v>141</v>
      </c>
      <c r="D108" s="403"/>
      <c r="E108" s="403"/>
      <c r="F108" s="424"/>
      <c r="G108" s="165">
        <f>SUM(G106:G107)</f>
        <v>78300</v>
      </c>
      <c r="H108" s="165">
        <f>SUM(H106:H107)</f>
        <v>38208.75</v>
      </c>
      <c r="I108" s="165">
        <f>SUM(I106:I107)</f>
        <v>40091.25</v>
      </c>
      <c r="J108" s="165">
        <f t="shared" ref="J108:L108" si="46">SUM(J106:J107)</f>
        <v>19104</v>
      </c>
      <c r="K108" s="165">
        <f t="shared" si="46"/>
        <v>19105</v>
      </c>
      <c r="L108" s="165">
        <f t="shared" si="46"/>
        <v>38209</v>
      </c>
      <c r="M108" s="147">
        <f>IFERROR(L108/H108,"N/A")</f>
        <v>1.0000065430038931</v>
      </c>
      <c r="N108" s="167">
        <f>SUM(N106:N107)</f>
        <v>32010</v>
      </c>
    </row>
    <row r="109" spans="1:14" ht="13.5" thickBot="1" x14ac:dyDescent="0.25"/>
    <row r="110" spans="1:14" ht="15.75" thickBot="1" x14ac:dyDescent="0.3">
      <c r="A110" s="425"/>
      <c r="B110" s="426"/>
      <c r="C110" s="427" t="s">
        <v>142</v>
      </c>
      <c r="D110" s="426"/>
      <c r="E110" s="426"/>
      <c r="F110" s="428"/>
      <c r="G110" s="168">
        <f t="shared" ref="G110:L110" si="47">SUM(G108,G99,G91,G83,G60,G50,G38)</f>
        <v>791045.58000000007</v>
      </c>
      <c r="H110" s="168">
        <f t="shared" si="47"/>
        <v>354408.75</v>
      </c>
      <c r="I110" s="168">
        <f t="shared" si="47"/>
        <v>436636.83</v>
      </c>
      <c r="J110" s="168">
        <f t="shared" si="47"/>
        <v>142748</v>
      </c>
      <c r="K110" s="168">
        <f t="shared" si="47"/>
        <v>211661.00000000003</v>
      </c>
      <c r="L110" s="168">
        <f t="shared" si="47"/>
        <v>354409</v>
      </c>
      <c r="M110" s="2">
        <f>IFERROR(L110/H110,"N/A")</f>
        <v>1.0000007054001911</v>
      </c>
      <c r="N110" s="169">
        <f>SUM(N108,N99,N91,N83,N60,N50,N38)</f>
        <v>682965.3899999999</v>
      </c>
    </row>
    <row r="111" spans="1:14" ht="15" customHeight="1" thickBot="1" x14ac:dyDescent="0.25"/>
    <row r="112" spans="1:14" ht="15" x14ac:dyDescent="0.25">
      <c r="A112" s="429" t="s">
        <v>24</v>
      </c>
      <c r="B112" s="388"/>
      <c r="C112" s="388"/>
      <c r="D112" s="388"/>
      <c r="E112" s="388"/>
      <c r="F112" s="388"/>
      <c r="G112" s="388"/>
      <c r="H112" s="388"/>
      <c r="I112" s="388"/>
      <c r="J112" s="388"/>
      <c r="K112" s="388"/>
      <c r="L112" s="388"/>
      <c r="M112" s="388"/>
      <c r="N112" s="430"/>
    </row>
    <row r="113" spans="1:14" ht="14.25" x14ac:dyDescent="0.2">
      <c r="A113" s="431" t="s">
        <v>143</v>
      </c>
      <c r="B113" s="432"/>
      <c r="C113" s="432"/>
      <c r="D113" s="432"/>
      <c r="E113" s="432"/>
      <c r="F113" s="432"/>
      <c r="G113" s="432"/>
      <c r="H113" s="432"/>
      <c r="I113" s="432"/>
      <c r="J113" s="432"/>
      <c r="K113" s="432"/>
      <c r="L113" s="432"/>
      <c r="M113" s="432"/>
      <c r="N113" s="433"/>
    </row>
    <row r="114" spans="1:14" ht="15" x14ac:dyDescent="0.25">
      <c r="A114" s="431" t="s">
        <v>144</v>
      </c>
      <c r="B114" s="432"/>
      <c r="C114" s="432"/>
      <c r="D114" s="432"/>
      <c r="E114" s="432"/>
      <c r="F114" s="432"/>
      <c r="G114" s="432"/>
      <c r="H114" s="432"/>
      <c r="I114" s="432"/>
      <c r="J114" s="432"/>
      <c r="K114" s="432"/>
      <c r="L114" s="432"/>
      <c r="M114" s="432"/>
      <c r="N114" s="433"/>
    </row>
    <row r="115" spans="1:14" ht="15" x14ac:dyDescent="0.25">
      <c r="A115" s="431" t="s">
        <v>145</v>
      </c>
      <c r="B115" s="432"/>
      <c r="C115" s="432"/>
      <c r="D115" s="432"/>
      <c r="E115" s="432"/>
      <c r="F115" s="432"/>
      <c r="G115" s="432"/>
      <c r="H115" s="432"/>
      <c r="I115" s="432"/>
      <c r="J115" s="432"/>
      <c r="K115" s="432"/>
      <c r="L115" s="432"/>
      <c r="M115" s="432"/>
      <c r="N115" s="433"/>
    </row>
    <row r="116" spans="1:14" ht="45" customHeight="1" x14ac:dyDescent="0.2">
      <c r="A116" s="434" t="s">
        <v>146</v>
      </c>
      <c r="B116" s="435"/>
      <c r="C116" s="435" t="s">
        <v>90</v>
      </c>
      <c r="I116" s="436" t="s">
        <v>147</v>
      </c>
      <c r="J116" s="436" t="s">
        <v>148</v>
      </c>
      <c r="K116" s="436" t="s">
        <v>149</v>
      </c>
      <c r="L116" s="436" t="s">
        <v>150</v>
      </c>
      <c r="M116" s="135" t="s">
        <v>151</v>
      </c>
      <c r="N116" s="437" t="s">
        <v>152</v>
      </c>
    </row>
    <row r="117" spans="1:14" ht="15" customHeight="1" x14ac:dyDescent="0.2">
      <c r="A117" s="438" t="s">
        <v>153</v>
      </c>
      <c r="B117" s="190"/>
      <c r="C117" s="190"/>
      <c r="I117" s="191"/>
      <c r="J117" s="191"/>
      <c r="K117" s="191"/>
      <c r="L117" s="191"/>
      <c r="M117" s="24"/>
      <c r="N117" s="128"/>
    </row>
    <row r="118" spans="1:14" ht="15" customHeight="1" x14ac:dyDescent="0.2">
      <c r="A118" s="439" t="s">
        <v>154</v>
      </c>
      <c r="B118" s="275"/>
      <c r="C118" s="275"/>
      <c r="I118" s="244">
        <f>433287-170000</f>
        <v>263287</v>
      </c>
      <c r="J118" s="284">
        <f>72591+32064.6</f>
        <v>104655.6</v>
      </c>
      <c r="K118" s="284">
        <v>7295</v>
      </c>
      <c r="L118" s="173">
        <f t="shared" ref="L118:L119" si="48">SUM(J118:K118)</f>
        <v>111950.6</v>
      </c>
      <c r="M118" s="24"/>
      <c r="N118" s="128"/>
    </row>
    <row r="119" spans="1:14" ht="15" customHeight="1" x14ac:dyDescent="0.2">
      <c r="A119" s="439" t="s">
        <v>155</v>
      </c>
      <c r="B119" s="275"/>
      <c r="C119" s="275"/>
      <c r="I119" s="244">
        <v>170000</v>
      </c>
      <c r="J119" s="284">
        <f>72088.76</f>
        <v>72088.759999999995</v>
      </c>
      <c r="K119" s="284">
        <v>0</v>
      </c>
      <c r="L119" s="173">
        <f t="shared" si="48"/>
        <v>72088.759999999995</v>
      </c>
      <c r="M119" s="24"/>
      <c r="N119" s="128"/>
    </row>
    <row r="120" spans="1:14" x14ac:dyDescent="0.2">
      <c r="A120" s="440" t="s">
        <v>156</v>
      </c>
      <c r="B120" s="190"/>
      <c r="I120" s="191"/>
      <c r="J120" s="191"/>
      <c r="K120" s="191"/>
      <c r="L120" s="191"/>
      <c r="M120" s="24"/>
      <c r="N120" s="128"/>
    </row>
    <row r="121" spans="1:14" ht="15" customHeight="1" x14ac:dyDescent="0.2">
      <c r="A121" s="439"/>
      <c r="B121" s="275"/>
      <c r="I121" s="244">
        <v>0</v>
      </c>
      <c r="J121" s="284">
        <v>27500</v>
      </c>
      <c r="K121" s="284">
        <f>'CM Worksheet'!K119</f>
        <v>0</v>
      </c>
      <c r="L121" s="173">
        <f t="shared" ref="L121:L131" si="49">SUM(J121:K121)</f>
        <v>27500</v>
      </c>
      <c r="M121" s="24"/>
      <c r="N121" s="128"/>
    </row>
    <row r="122" spans="1:14" ht="15" customHeight="1" x14ac:dyDescent="0.2">
      <c r="A122" s="439"/>
      <c r="B122" s="275"/>
      <c r="I122" s="244">
        <v>0</v>
      </c>
      <c r="J122" s="284">
        <v>50000</v>
      </c>
      <c r="K122" s="284">
        <f>'CM Worksheet'!K120</f>
        <v>0</v>
      </c>
      <c r="L122" s="173">
        <f t="shared" si="49"/>
        <v>50000</v>
      </c>
      <c r="M122" s="24"/>
      <c r="N122" s="128"/>
    </row>
    <row r="123" spans="1:14" x14ac:dyDescent="0.2">
      <c r="A123" s="440" t="s">
        <v>157</v>
      </c>
      <c r="B123" s="190"/>
      <c r="I123" s="191"/>
      <c r="J123" s="191"/>
      <c r="K123" s="191"/>
      <c r="L123" s="191"/>
      <c r="M123" s="24"/>
      <c r="N123" s="128"/>
    </row>
    <row r="124" spans="1:14" ht="15" customHeight="1" x14ac:dyDescent="0.2">
      <c r="A124" s="439"/>
      <c r="B124" s="275"/>
      <c r="I124" s="244">
        <v>0</v>
      </c>
      <c r="J124" s="284">
        <v>0</v>
      </c>
      <c r="K124" s="284"/>
      <c r="L124" s="173">
        <f t="shared" ref="L124:L125" si="50">SUM(J124:K124)</f>
        <v>0</v>
      </c>
      <c r="M124" s="24"/>
      <c r="N124" s="128"/>
    </row>
    <row r="125" spans="1:14" ht="15" customHeight="1" x14ac:dyDescent="0.2">
      <c r="A125" s="439"/>
      <c r="B125" s="275"/>
      <c r="I125" s="244">
        <v>0</v>
      </c>
      <c r="J125" s="284">
        <v>0</v>
      </c>
      <c r="K125" s="284">
        <v>0</v>
      </c>
      <c r="L125" s="173">
        <f t="shared" si="50"/>
        <v>0</v>
      </c>
      <c r="M125" s="24"/>
      <c r="N125" s="128"/>
    </row>
    <row r="126" spans="1:14" x14ac:dyDescent="0.2">
      <c r="A126" s="440" t="s">
        <v>158</v>
      </c>
      <c r="B126" s="190"/>
      <c r="I126" s="191"/>
      <c r="J126" s="191"/>
      <c r="K126" s="191"/>
      <c r="L126" s="191"/>
      <c r="M126" s="62"/>
      <c r="N126" s="129"/>
    </row>
    <row r="127" spans="1:14" ht="15" customHeight="1" x14ac:dyDescent="0.2">
      <c r="A127" s="439"/>
      <c r="B127" s="275"/>
      <c r="I127" s="244">
        <v>0</v>
      </c>
      <c r="J127" s="284">
        <v>0</v>
      </c>
      <c r="K127" s="284">
        <v>0</v>
      </c>
      <c r="L127" s="173">
        <f t="shared" ref="L127:L128" si="51">SUM(J127:K127)</f>
        <v>0</v>
      </c>
      <c r="M127" s="24"/>
      <c r="N127" s="128"/>
    </row>
    <row r="128" spans="1:14" ht="15" customHeight="1" x14ac:dyDescent="0.2">
      <c r="A128" s="439"/>
      <c r="B128" s="275"/>
      <c r="I128" s="244">
        <v>0</v>
      </c>
      <c r="J128" s="284">
        <v>0</v>
      </c>
      <c r="K128" s="284">
        <v>0</v>
      </c>
      <c r="L128" s="173">
        <f t="shared" si="51"/>
        <v>0</v>
      </c>
      <c r="M128" s="24"/>
      <c r="N128" s="128"/>
    </row>
    <row r="129" spans="1:14" x14ac:dyDescent="0.2">
      <c r="A129" s="440" t="s">
        <v>159</v>
      </c>
      <c r="B129" s="190"/>
      <c r="I129" s="191"/>
      <c r="J129" s="191"/>
      <c r="K129" s="191"/>
      <c r="L129" s="191"/>
      <c r="M129" s="62"/>
      <c r="N129" s="129"/>
    </row>
    <row r="130" spans="1:14" ht="15" customHeight="1" x14ac:dyDescent="0.2">
      <c r="A130" s="439"/>
      <c r="B130" s="275"/>
      <c r="I130" s="244">
        <v>0</v>
      </c>
      <c r="J130" s="284">
        <f>427294-143560-254244</f>
        <v>29490</v>
      </c>
      <c r="K130" s="284">
        <f>'CM Worksheet'!K128</f>
        <v>37526.699999999997</v>
      </c>
      <c r="L130" s="173">
        <f t="shared" si="49"/>
        <v>67016.7</v>
      </c>
      <c r="M130" s="24"/>
      <c r="N130" s="128"/>
    </row>
    <row r="131" spans="1:14" ht="15" customHeight="1" x14ac:dyDescent="0.2">
      <c r="A131" s="439"/>
      <c r="B131" s="275"/>
      <c r="I131" s="244">
        <v>0</v>
      </c>
      <c r="J131" s="284">
        <v>0</v>
      </c>
      <c r="K131" s="284">
        <v>0</v>
      </c>
      <c r="L131" s="173">
        <f t="shared" si="49"/>
        <v>0</v>
      </c>
      <c r="M131" s="24"/>
      <c r="N131" s="128"/>
    </row>
    <row r="132" spans="1:14" x14ac:dyDescent="0.2">
      <c r="A132" s="438" t="s">
        <v>160</v>
      </c>
      <c r="B132" s="190"/>
      <c r="I132" s="191"/>
      <c r="J132" s="191"/>
      <c r="K132" s="191"/>
      <c r="L132" s="191"/>
      <c r="M132" s="62"/>
      <c r="N132" s="129"/>
    </row>
    <row r="133" spans="1:14" ht="15" customHeight="1" x14ac:dyDescent="0.2">
      <c r="A133" s="439"/>
      <c r="B133" s="275"/>
      <c r="I133" s="244">
        <v>0</v>
      </c>
      <c r="J133" s="284">
        <v>0</v>
      </c>
      <c r="K133" s="284">
        <v>0</v>
      </c>
      <c r="L133" s="173">
        <f t="shared" ref="L133:L134" si="52">SUM(J133:K133)</f>
        <v>0</v>
      </c>
      <c r="M133" s="24"/>
      <c r="N133" s="128"/>
    </row>
    <row r="134" spans="1:14" ht="15" customHeight="1" x14ac:dyDescent="0.2">
      <c r="A134" s="439"/>
      <c r="B134" s="275"/>
      <c r="I134" s="244">
        <v>0</v>
      </c>
      <c r="J134" s="284">
        <v>0</v>
      </c>
      <c r="K134" s="284">
        <v>0</v>
      </c>
      <c r="L134" s="173">
        <f t="shared" si="52"/>
        <v>0</v>
      </c>
      <c r="M134" s="24"/>
      <c r="N134" s="128"/>
    </row>
    <row r="135" spans="1:14" ht="15.75" thickBot="1" x14ac:dyDescent="0.3">
      <c r="A135" s="441" t="s">
        <v>161</v>
      </c>
      <c r="B135" s="354"/>
      <c r="C135" s="354"/>
      <c r="D135" s="442" t="s">
        <v>162</v>
      </c>
      <c r="E135" s="443"/>
      <c r="F135" s="443"/>
      <c r="G135" s="443"/>
      <c r="H135" s="443"/>
      <c r="I135" s="174">
        <f>SUM(I117:I134)</f>
        <v>433287</v>
      </c>
      <c r="J135" s="174">
        <f t="shared" ref="J135:L135" si="53">SUM(J117:J134)</f>
        <v>283734.36</v>
      </c>
      <c r="K135" s="174">
        <f t="shared" si="53"/>
        <v>44821.7</v>
      </c>
      <c r="L135" s="174">
        <f t="shared" si="53"/>
        <v>328556.06</v>
      </c>
      <c r="M135" s="175">
        <f>N13-L13</f>
        <v>328556.3899999999</v>
      </c>
      <c r="N135" s="176">
        <f>IFERROR(L135-M135,"N/A")</f>
        <v>-0.32999999989988282</v>
      </c>
    </row>
    <row r="136" spans="1:14" ht="13.5" thickBot="1" x14ac:dyDescent="0.25">
      <c r="A136" s="332"/>
      <c r="F136" s="444"/>
    </row>
    <row r="137" spans="1:14" x14ac:dyDescent="0.2">
      <c r="A137" s="445" t="s">
        <v>163</v>
      </c>
      <c r="B137" s="356"/>
      <c r="C137" s="356"/>
      <c r="D137" s="356"/>
      <c r="E137" s="356"/>
      <c r="F137" s="446"/>
      <c r="G137" s="446"/>
      <c r="H137" s="446"/>
      <c r="I137" s="446"/>
      <c r="J137" s="446"/>
      <c r="K137" s="446"/>
      <c r="L137" s="446"/>
      <c r="M137" s="28"/>
      <c r="N137" s="27"/>
    </row>
    <row r="138" spans="1:14" ht="13.5" thickBot="1" x14ac:dyDescent="0.25">
      <c r="A138" s="352" t="s">
        <v>164</v>
      </c>
      <c r="B138" s="353"/>
      <c r="C138" s="353"/>
      <c r="D138" s="353"/>
      <c r="E138" s="353"/>
      <c r="F138" s="447"/>
      <c r="G138" s="447"/>
      <c r="H138" s="447"/>
      <c r="I138" s="447"/>
      <c r="J138" s="447"/>
      <c r="K138" s="447"/>
      <c r="L138" s="447"/>
      <c r="M138" s="23"/>
      <c r="N138" s="22"/>
    </row>
  </sheetData>
  <sheetProtection algorithmName="SHA-512" hashValue="B5zSXL9zWzaq80WEh6zFaqRXcGKzv3/2nRnf+zj4hU52pbqJuXl/61mU7c1fWO4Zlb3VG+HIYZdOMKgpaL7JIw==" saltValue="QNejYdmDyuQcluoVyhCORQ==" spinCount="100000" sheet="1" objects="1" scenarios="1"/>
  <conditionalFormatting sqref="B117:B134">
    <cfRule type="containsText" dxfId="37" priority="16" operator="containsText" text="VARIANCE">
      <formula>NOT(ISERROR(SEARCH("VARIANCE",B117)))</formula>
    </cfRule>
  </conditionalFormatting>
  <conditionalFormatting sqref="C117:C119">
    <cfRule type="containsText" dxfId="36" priority="1" operator="containsText" text="VARIANCE">
      <formula>NOT(ISERROR(SEARCH("VARIANCE",C117)))</formula>
    </cfRule>
  </conditionalFormatting>
  <conditionalFormatting sqref="I117:L117">
    <cfRule type="containsText" dxfId="35" priority="15" operator="containsText" text="VARIANCE">
      <formula>NOT(ISERROR(SEARCH("VARIANCE",I117)))</formula>
    </cfRule>
  </conditionalFormatting>
  <conditionalFormatting sqref="I120:L120">
    <cfRule type="containsText" dxfId="34" priority="14" operator="containsText" text="VARIANCE">
      <formula>NOT(ISERROR(SEARCH("VARIANCE",I120)))</formula>
    </cfRule>
  </conditionalFormatting>
  <conditionalFormatting sqref="I123:L123">
    <cfRule type="containsText" dxfId="33" priority="13" operator="containsText" text="VARIANCE">
      <formula>NOT(ISERROR(SEARCH("VARIANCE",I123)))</formula>
    </cfRule>
  </conditionalFormatting>
  <conditionalFormatting sqref="I126:L126">
    <cfRule type="containsText" dxfId="32" priority="12" operator="containsText" text="VARIANCE">
      <formula>NOT(ISERROR(SEARCH("VARIANCE",I126)))</formula>
    </cfRule>
  </conditionalFormatting>
  <conditionalFormatting sqref="I129:L129">
    <cfRule type="containsText" dxfId="31" priority="11" operator="containsText" text="VARIANCE">
      <formula>NOT(ISERROR(SEARCH("VARIANCE",I129)))</formula>
    </cfRule>
  </conditionalFormatting>
  <conditionalFormatting sqref="I132:L132">
    <cfRule type="containsText" dxfId="30" priority="10" operator="containsText" text="VARIANCE">
      <formula>NOT(ISERROR(SEARCH("VARIANCE",I132)))</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6:F107"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7" xr:uid="{00000000-0002-0000-0100-000003000000}">
      <formula1>0.9</formula1>
      <formula2>1.1</formula2>
    </dataValidation>
    <dataValidation type="list" allowBlank="1" showInputMessage="1" showErrorMessage="1" sqref="C27:C37" xr:uid="{00000000-0002-0000-0100-000004000000}">
      <formula1>$C$19:$C$21</formula1>
    </dataValidation>
    <dataValidation type="list" allowBlank="1" showInputMessage="1" showErrorMessage="1" sqref="C118:C119" xr:uid="{00000000-0002-0000-0100-000005000000}">
      <formula1>$F$19:$F$21</formula1>
    </dataValidation>
  </dataValidations>
  <printOptions gridLines="1"/>
  <pageMargins left="0.7" right="0.7" top="0.75" bottom="0.75" header="0.3" footer="0.3"/>
  <pageSetup scale="49" fitToHeight="5" orientation="landscape" r:id="rId1"/>
  <rowBreaks count="1" manualBreakCount="1">
    <brk id="83" max="13" man="1"/>
  </rowBreaks>
  <ignoredErrors>
    <ignoredError sqref="M6 M10:M11 M7:M9 M12:M13" formula="1"/>
    <ignoredError sqref="L118:L13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B136"/>
  <sheetViews>
    <sheetView workbookViewId="0">
      <pane xSplit="3" ySplit="2" topLeftCell="N39" activePane="bottomRight" state="frozen"/>
      <selection pane="topRight" activeCell="D1" sqref="D1"/>
      <selection pane="bottomLeft" activeCell="A3" sqref="A3"/>
      <selection pane="bottomRight" activeCell="B49" sqref="B49"/>
    </sheetView>
  </sheetViews>
  <sheetFormatPr defaultColWidth="8.85546875" defaultRowHeight="15" x14ac:dyDescent="0.2"/>
  <cols>
    <col min="1" max="1" width="33.140625" style="1" customWidth="1"/>
    <col min="2" max="2" width="32.5703125" style="1" customWidth="1"/>
    <col min="3" max="3" width="30.42578125" style="1" customWidth="1"/>
    <col min="4" max="4" width="11.140625" style="1" customWidth="1"/>
    <col min="5" max="5" width="10.85546875" style="1" customWidth="1"/>
    <col min="6" max="6" width="10" style="1" customWidth="1"/>
    <col min="7" max="9" width="14.85546875" style="1" customWidth="1"/>
    <col min="10" max="12" width="14.42578125" style="1" customWidth="1"/>
    <col min="13" max="13" width="13.85546875" style="21" bestFit="1" customWidth="1"/>
    <col min="14" max="14" width="16.7109375" style="20" customWidth="1"/>
    <col min="15" max="18" width="25" style="63" hidden="1" customWidth="1"/>
    <col min="19" max="19" width="8.85546875" style="1"/>
    <col min="20" max="28" width="15.7109375" style="279" customWidth="1"/>
    <col min="29" max="16384" width="8.85546875" style="1"/>
  </cols>
  <sheetData>
    <row r="1" spans="1:28" ht="18" x14ac:dyDescent="0.25">
      <c r="A1" s="58" t="s">
        <v>36</v>
      </c>
      <c r="B1" s="25"/>
      <c r="C1" s="36"/>
      <c r="D1" s="36"/>
      <c r="E1" s="36"/>
      <c r="F1" s="36"/>
      <c r="G1" s="36"/>
      <c r="H1" s="36"/>
      <c r="I1" s="36"/>
      <c r="J1" s="36"/>
      <c r="K1" s="36"/>
      <c r="L1" s="36"/>
      <c r="M1" s="35"/>
      <c r="N1" s="34"/>
      <c r="O1" s="70"/>
      <c r="P1" s="70"/>
      <c r="Q1" s="70"/>
      <c r="R1" s="70"/>
      <c r="T1" s="280" t="s">
        <v>165</v>
      </c>
      <c r="U1" s="279" t="s">
        <v>166</v>
      </c>
      <c r="V1" s="279" t="s">
        <v>167</v>
      </c>
      <c r="W1" s="279" t="s">
        <v>168</v>
      </c>
      <c r="X1" s="279" t="s">
        <v>169</v>
      </c>
      <c r="Y1" s="279" t="s">
        <v>170</v>
      </c>
      <c r="Z1" s="279" t="s">
        <v>171</v>
      </c>
      <c r="AA1" s="279" t="s">
        <v>172</v>
      </c>
      <c r="AB1" s="279" t="s">
        <v>173</v>
      </c>
    </row>
    <row r="2" spans="1:28" ht="18" x14ac:dyDescent="0.2">
      <c r="A2" s="296" t="s">
        <v>37</v>
      </c>
      <c r="B2" s="25"/>
      <c r="C2" s="36"/>
      <c r="D2" s="36"/>
      <c r="E2" s="36"/>
      <c r="F2" s="36"/>
      <c r="G2" s="36"/>
      <c r="H2" s="36"/>
      <c r="I2" s="36"/>
      <c r="J2" s="36"/>
      <c r="K2" s="36"/>
      <c r="L2" s="36"/>
      <c r="M2" s="35"/>
      <c r="N2" s="34"/>
      <c r="O2" s="70"/>
      <c r="P2" s="70"/>
      <c r="Q2" s="70"/>
      <c r="R2" s="70"/>
    </row>
    <row r="3" spans="1:28" ht="15.75" thickBot="1" x14ac:dyDescent="0.25">
      <c r="A3" s="25"/>
      <c r="B3" s="25"/>
      <c r="C3" s="36"/>
      <c r="D3" s="36"/>
      <c r="E3" s="36"/>
      <c r="F3" s="36"/>
      <c r="G3" s="36"/>
      <c r="H3" s="36"/>
      <c r="I3" s="36"/>
      <c r="J3" s="36"/>
      <c r="K3" s="36"/>
      <c r="L3" s="36"/>
      <c r="M3" s="35"/>
      <c r="N3" s="34"/>
      <c r="O3" s="70"/>
      <c r="P3" s="70"/>
      <c r="Q3" s="70"/>
      <c r="R3" s="70"/>
    </row>
    <row r="4" spans="1:28" ht="15.75" thickBot="1" x14ac:dyDescent="0.25">
      <c r="A4" s="19" t="s">
        <v>38</v>
      </c>
      <c r="B4" s="18"/>
      <c r="C4" s="18"/>
      <c r="D4" s="18"/>
      <c r="E4" s="18"/>
      <c r="F4" s="18"/>
      <c r="G4" s="18"/>
      <c r="H4" s="18"/>
      <c r="I4" s="18"/>
      <c r="J4" s="18"/>
      <c r="K4" s="18"/>
      <c r="L4" s="18"/>
      <c r="M4" s="120"/>
      <c r="N4" s="17"/>
    </row>
    <row r="5" spans="1:28" ht="33.75" x14ac:dyDescent="0.2">
      <c r="A5" s="119"/>
      <c r="B5" s="61"/>
      <c r="C5" s="61"/>
      <c r="D5" s="61"/>
      <c r="E5" s="61"/>
      <c r="F5" s="61"/>
      <c r="G5" s="130" t="s">
        <v>39</v>
      </c>
      <c r="H5" s="130" t="s">
        <v>40</v>
      </c>
      <c r="I5" s="130" t="s">
        <v>41</v>
      </c>
      <c r="J5" s="130" t="s">
        <v>42</v>
      </c>
      <c r="K5" s="130" t="s">
        <v>43</v>
      </c>
      <c r="L5" s="130" t="s">
        <v>44</v>
      </c>
      <c r="M5" s="131" t="s">
        <v>45</v>
      </c>
      <c r="N5" s="132" t="s">
        <v>46</v>
      </c>
      <c r="O5" s="71"/>
      <c r="P5" s="71"/>
      <c r="Q5" s="71"/>
      <c r="R5" s="71"/>
    </row>
    <row r="6" spans="1:28" x14ac:dyDescent="0.2">
      <c r="A6" s="177" t="s">
        <v>47</v>
      </c>
      <c r="B6" s="199" t="s">
        <v>48</v>
      </c>
      <c r="C6" s="199"/>
      <c r="D6" s="171" t="str">
        <f>A24</f>
        <v>1A.  Staff Salaries</v>
      </c>
      <c r="G6" s="153">
        <f t="shared" ref="G6:K6" si="0">G36</f>
        <v>522000</v>
      </c>
      <c r="H6" s="153">
        <f t="shared" si="0"/>
        <v>254725</v>
      </c>
      <c r="I6" s="153">
        <f t="shared" si="0"/>
        <v>267275</v>
      </c>
      <c r="J6" s="153">
        <f t="shared" si="0"/>
        <v>101285</v>
      </c>
      <c r="K6" s="153">
        <f t="shared" si="0"/>
        <v>0</v>
      </c>
      <c r="L6" s="153">
        <f>L36</f>
        <v>101285</v>
      </c>
      <c r="M6" s="31">
        <f t="shared" ref="M6:M13" si="1">IFERROR(L6/H6,"N/A")</f>
        <v>0.3976248895868093</v>
      </c>
      <c r="N6" s="155">
        <f>N36</f>
        <v>263277</v>
      </c>
    </row>
    <row r="7" spans="1:28" x14ac:dyDescent="0.2">
      <c r="A7" s="177" t="s">
        <v>49</v>
      </c>
      <c r="B7" s="200" t="s">
        <v>50</v>
      </c>
      <c r="C7" s="200"/>
      <c r="D7" s="171" t="str">
        <f>A38</f>
        <v>1B.  Staff Fringe Benefits</v>
      </c>
      <c r="G7" s="153">
        <f t="shared" ref="G7:I7" si="2">G48</f>
        <v>78300</v>
      </c>
      <c r="H7" s="153">
        <f t="shared" si="2"/>
        <v>38208.75</v>
      </c>
      <c r="I7" s="153">
        <f t="shared" si="2"/>
        <v>40091.25</v>
      </c>
      <c r="J7" s="153">
        <f>J48</f>
        <v>16110</v>
      </c>
      <c r="K7" s="153">
        <f>K48</f>
        <v>0</v>
      </c>
      <c r="L7" s="153">
        <f>L48</f>
        <v>16110</v>
      </c>
      <c r="M7" s="31">
        <f t="shared" si="1"/>
        <v>0.42163117087054669</v>
      </c>
      <c r="N7" s="155">
        <f>N48</f>
        <v>37056.620000000003</v>
      </c>
    </row>
    <row r="8" spans="1:28" x14ac:dyDescent="0.2">
      <c r="A8" s="116"/>
      <c r="D8" s="171" t="str">
        <f>A50</f>
        <v>2.  Consultant Services</v>
      </c>
      <c r="G8" s="153">
        <f t="shared" ref="G8:I8" si="3">G58</f>
        <v>11761.44</v>
      </c>
      <c r="H8" s="153">
        <f t="shared" si="3"/>
        <v>2776</v>
      </c>
      <c r="I8" s="153">
        <f t="shared" si="3"/>
        <v>8985.44</v>
      </c>
      <c r="J8" s="153">
        <f>J58</f>
        <v>7573</v>
      </c>
      <c r="K8" s="153">
        <f>K58</f>
        <v>0</v>
      </c>
      <c r="L8" s="153">
        <f>L58</f>
        <v>7573</v>
      </c>
      <c r="M8" s="31">
        <f t="shared" si="1"/>
        <v>2.7280259365994235</v>
      </c>
      <c r="N8" s="155">
        <f>N58</f>
        <v>37945.46</v>
      </c>
    </row>
    <row r="9" spans="1:28" x14ac:dyDescent="0.2">
      <c r="A9" s="116"/>
      <c r="D9" s="171" t="str">
        <f>A60</f>
        <v>3.  Operating Expenses</v>
      </c>
      <c r="G9" s="153">
        <f t="shared" ref="G9:L9" si="4">G81</f>
        <v>97334.14</v>
      </c>
      <c r="H9" s="153">
        <f t="shared" si="4"/>
        <v>20490</v>
      </c>
      <c r="I9" s="153">
        <f t="shared" si="4"/>
        <v>76844.14</v>
      </c>
      <c r="J9" s="153">
        <f t="shared" si="4"/>
        <v>12353.76</v>
      </c>
      <c r="K9" s="153">
        <f t="shared" si="4"/>
        <v>0</v>
      </c>
      <c r="L9" s="153">
        <f t="shared" si="4"/>
        <v>12353.76</v>
      </c>
      <c r="M9" s="31">
        <f t="shared" si="1"/>
        <v>0.6029165446559297</v>
      </c>
      <c r="N9" s="155">
        <f>N81</f>
        <v>57004.47</v>
      </c>
    </row>
    <row r="10" spans="1:28" x14ac:dyDescent="0.2">
      <c r="A10" s="26" t="s">
        <v>51</v>
      </c>
      <c r="B10" s="127" t="s">
        <v>56</v>
      </c>
      <c r="D10" s="171" t="str">
        <f>A83</f>
        <v>4.  Direct Client Support</v>
      </c>
      <c r="G10" s="153">
        <f>G89</f>
        <v>0</v>
      </c>
      <c r="H10" s="153">
        <f t="shared" ref="H10:N10" si="5">H89</f>
        <v>0</v>
      </c>
      <c r="I10" s="153">
        <f t="shared" si="5"/>
        <v>0</v>
      </c>
      <c r="J10" s="153">
        <f t="shared" si="5"/>
        <v>0</v>
      </c>
      <c r="K10" s="153">
        <f t="shared" si="5"/>
        <v>0</v>
      </c>
      <c r="L10" s="153">
        <f t="shared" si="5"/>
        <v>0</v>
      </c>
      <c r="M10" s="31" t="str">
        <f t="shared" si="1"/>
        <v>N/A</v>
      </c>
      <c r="N10" s="155">
        <f t="shared" si="5"/>
        <v>0</v>
      </c>
    </row>
    <row r="11" spans="1:28" x14ac:dyDescent="0.2">
      <c r="A11" s="116"/>
      <c r="D11" s="171" t="str">
        <f>A91</f>
        <v>5.  Other</v>
      </c>
      <c r="G11" s="153">
        <f>G97</f>
        <v>0</v>
      </c>
      <c r="H11" s="153">
        <f t="shared" ref="H11:N11" si="6">H97</f>
        <v>0</v>
      </c>
      <c r="I11" s="153">
        <f t="shared" si="6"/>
        <v>0</v>
      </c>
      <c r="J11" s="153">
        <f t="shared" si="6"/>
        <v>0</v>
      </c>
      <c r="K11" s="153">
        <f t="shared" si="6"/>
        <v>0</v>
      </c>
      <c r="L11" s="153">
        <f t="shared" si="6"/>
        <v>0</v>
      </c>
      <c r="M11" s="31" t="str">
        <f t="shared" si="1"/>
        <v>N/A</v>
      </c>
      <c r="N11" s="155">
        <f t="shared" si="6"/>
        <v>0</v>
      </c>
    </row>
    <row r="12" spans="1:28" x14ac:dyDescent="0.2">
      <c r="A12" s="116"/>
      <c r="D12" s="171" t="str">
        <f>A99</f>
        <v>6.  Indirect Administrative Costs</v>
      </c>
      <c r="G12" s="153">
        <f>G106</f>
        <v>78300</v>
      </c>
      <c r="H12" s="153">
        <f t="shared" ref="H12:L12" si="7">H106</f>
        <v>38208.75</v>
      </c>
      <c r="I12" s="153">
        <f t="shared" si="7"/>
        <v>40091.25</v>
      </c>
      <c r="J12" s="153">
        <f t="shared" si="7"/>
        <v>19104</v>
      </c>
      <c r="K12" s="153">
        <f t="shared" si="7"/>
        <v>0</v>
      </c>
      <c r="L12" s="153">
        <f t="shared" si="7"/>
        <v>19104</v>
      </c>
      <c r="M12" s="31">
        <f t="shared" si="1"/>
        <v>0.49999018549416036</v>
      </c>
      <c r="N12" s="155">
        <f>N106</f>
        <v>32010</v>
      </c>
    </row>
    <row r="13" spans="1:28" x14ac:dyDescent="0.2">
      <c r="A13" s="116" t="s">
        <v>53</v>
      </c>
      <c r="B13" s="170">
        <v>177205</v>
      </c>
      <c r="D13" s="172" t="str">
        <f>C108</f>
        <v>7.   TOTAL BUDGET</v>
      </c>
      <c r="E13" s="25"/>
      <c r="F13" s="25"/>
      <c r="G13" s="154">
        <f>G108</f>
        <v>787695.58000000007</v>
      </c>
      <c r="H13" s="154">
        <f t="shared" ref="H13:L13" si="8">H108</f>
        <v>354408.5</v>
      </c>
      <c r="I13" s="154">
        <f t="shared" si="8"/>
        <v>433287.08</v>
      </c>
      <c r="J13" s="154">
        <f t="shared" si="8"/>
        <v>156425.76</v>
      </c>
      <c r="K13" s="154">
        <f t="shared" si="8"/>
        <v>0</v>
      </c>
      <c r="L13" s="154">
        <f t="shared" si="8"/>
        <v>156425.76</v>
      </c>
      <c r="M13" s="33">
        <f t="shared" si="1"/>
        <v>0.44137135537099143</v>
      </c>
      <c r="N13" s="156">
        <f>N108</f>
        <v>427293.55</v>
      </c>
    </row>
    <row r="14" spans="1:28" x14ac:dyDescent="0.2">
      <c r="A14" s="116" t="s">
        <v>54</v>
      </c>
      <c r="B14" s="178">
        <f>L13</f>
        <v>156425.76</v>
      </c>
      <c r="M14" s="1"/>
      <c r="N14" s="133"/>
    </row>
    <row r="15" spans="1:28" x14ac:dyDescent="0.2">
      <c r="A15" s="116" t="s">
        <v>55</v>
      </c>
      <c r="B15" s="178">
        <f>B13-B14</f>
        <v>20779.239999999991</v>
      </c>
      <c r="M15" s="1"/>
      <c r="N15" s="133"/>
    </row>
    <row r="16" spans="1:28" x14ac:dyDescent="0.2">
      <c r="A16" s="116"/>
      <c r="M16" s="1"/>
      <c r="N16" s="133"/>
    </row>
    <row r="17" spans="1:28" ht="15.75" thickBot="1" x14ac:dyDescent="0.25">
      <c r="A17" s="117"/>
      <c r="B17" s="118"/>
      <c r="C17" s="42"/>
      <c r="D17" s="118"/>
      <c r="E17" s="118"/>
      <c r="F17" s="118"/>
      <c r="G17" s="42"/>
      <c r="H17" s="42"/>
      <c r="I17" s="42"/>
      <c r="J17" s="42"/>
      <c r="K17" s="42"/>
      <c r="L17" s="42"/>
      <c r="M17" s="42"/>
      <c r="N17" s="134"/>
    </row>
    <row r="18" spans="1:28" ht="15.75" thickBot="1" x14ac:dyDescent="0.25">
      <c r="A18" s="25"/>
      <c r="D18" s="25"/>
      <c r="E18" s="25"/>
      <c r="F18" s="25"/>
      <c r="G18" s="68"/>
      <c r="H18" s="68"/>
      <c r="I18" s="68"/>
      <c r="J18" s="68"/>
      <c r="K18" s="68"/>
      <c r="L18" s="68"/>
      <c r="M18" s="62"/>
      <c r="N18" s="68"/>
    </row>
    <row r="19" spans="1:28" ht="15.75" hidden="1" thickBot="1" x14ac:dyDescent="0.25">
      <c r="A19" s="119" t="s">
        <v>56</v>
      </c>
      <c r="B19" s="61"/>
      <c r="C19" s="61" t="s">
        <v>57</v>
      </c>
      <c r="D19" s="138"/>
      <c r="E19" s="138"/>
      <c r="F19" s="61" t="s">
        <v>58</v>
      </c>
      <c r="G19" s="139"/>
      <c r="H19" s="139"/>
      <c r="I19" s="139"/>
      <c r="J19" s="139"/>
      <c r="K19" s="139"/>
      <c r="L19" s="139"/>
      <c r="M19" s="140"/>
      <c r="N19" s="141"/>
    </row>
    <row r="20" spans="1:28" ht="15.75" hidden="1" thickBot="1" x14ac:dyDescent="0.25">
      <c r="A20" s="116" t="s">
        <v>59</v>
      </c>
      <c r="C20" s="1" t="s">
        <v>60</v>
      </c>
      <c r="D20" s="25"/>
      <c r="E20" s="25"/>
      <c r="F20" s="1" t="s">
        <v>61</v>
      </c>
      <c r="G20" s="68"/>
      <c r="H20" s="68"/>
      <c r="I20" s="68"/>
      <c r="J20" s="68"/>
      <c r="K20" s="68"/>
      <c r="L20" s="68"/>
      <c r="M20" s="62"/>
      <c r="N20" s="142"/>
    </row>
    <row r="21" spans="1:28" ht="15.75" hidden="1" thickBot="1" x14ac:dyDescent="0.25">
      <c r="A21" s="46" t="s">
        <v>52</v>
      </c>
      <c r="B21" s="42"/>
      <c r="C21" s="1" t="s">
        <v>62</v>
      </c>
      <c r="D21" s="42"/>
      <c r="E21" s="42"/>
      <c r="F21" s="42" t="s">
        <v>63</v>
      </c>
      <c r="G21" s="42"/>
      <c r="H21" s="42"/>
      <c r="I21" s="42"/>
      <c r="J21" s="42"/>
      <c r="K21" s="42"/>
      <c r="L21" s="42"/>
      <c r="M21" s="23"/>
      <c r="N21" s="143"/>
    </row>
    <row r="22" spans="1:28" ht="15.75" thickBot="1" x14ac:dyDescent="0.25">
      <c r="A22" s="19" t="s">
        <v>64</v>
      </c>
      <c r="B22" s="18"/>
      <c r="C22" s="18"/>
      <c r="D22" s="18"/>
      <c r="E22" s="18"/>
      <c r="F22" s="18"/>
      <c r="G22" s="18"/>
      <c r="H22" s="18"/>
      <c r="I22" s="18"/>
      <c r="J22" s="18"/>
      <c r="K22" s="18"/>
      <c r="L22" s="18"/>
      <c r="M22" s="120"/>
      <c r="N22" s="17"/>
    </row>
    <row r="23" spans="1:28" ht="15.75" thickBot="1" x14ac:dyDescent="0.25"/>
    <row r="24" spans="1:28" x14ac:dyDescent="0.2">
      <c r="A24" s="103" t="s">
        <v>65</v>
      </c>
      <c r="B24" s="104"/>
      <c r="C24" s="104"/>
      <c r="D24" s="104"/>
      <c r="E24" s="104"/>
      <c r="F24" s="105"/>
      <c r="G24" s="106"/>
      <c r="H24" s="106"/>
      <c r="I24" s="106"/>
      <c r="J24" s="106"/>
      <c r="K24" s="106"/>
      <c r="L24" s="106"/>
      <c r="M24" s="107"/>
      <c r="N24" s="108"/>
    </row>
    <row r="25" spans="1:28" s="53" customFormat="1" x14ac:dyDescent="0.2">
      <c r="A25" s="179" t="s">
        <v>66</v>
      </c>
      <c r="B25" s="57"/>
      <c r="C25" s="57"/>
      <c r="D25" s="57"/>
      <c r="E25" s="57"/>
      <c r="F25" s="51"/>
      <c r="G25" s="15"/>
      <c r="H25" s="15"/>
      <c r="I25" s="15"/>
      <c r="J25" s="15"/>
      <c r="K25" s="15"/>
      <c r="L25" s="15"/>
      <c r="M25" s="14"/>
      <c r="N25" s="109"/>
      <c r="O25" s="64"/>
      <c r="P25" s="64"/>
      <c r="Q25" s="64"/>
      <c r="R25" s="64"/>
      <c r="T25" s="279"/>
      <c r="U25" s="279"/>
      <c r="V25" s="279"/>
      <c r="W25" s="279"/>
      <c r="X25" s="279"/>
      <c r="Y25" s="279"/>
      <c r="Z25" s="279"/>
      <c r="AA25" s="279"/>
      <c r="AB25" s="279"/>
    </row>
    <row r="26" spans="1:28" s="53" customFormat="1" ht="33.75" x14ac:dyDescent="0.2">
      <c r="A26" s="136" t="s">
        <v>67</v>
      </c>
      <c r="B26" s="137" t="s">
        <v>68</v>
      </c>
      <c r="C26" s="32" t="s">
        <v>69</v>
      </c>
      <c r="D26" s="32" t="s">
        <v>70</v>
      </c>
      <c r="E26" s="32" t="s">
        <v>71</v>
      </c>
      <c r="F26" s="32" t="s">
        <v>72</v>
      </c>
      <c r="G26" s="32" t="s">
        <v>39</v>
      </c>
      <c r="H26" s="32" t="s">
        <v>40</v>
      </c>
      <c r="I26" s="32" t="s">
        <v>41</v>
      </c>
      <c r="J26" s="32" t="s">
        <v>42</v>
      </c>
      <c r="K26" s="32" t="s">
        <v>43</v>
      </c>
      <c r="L26" s="32" t="s">
        <v>44</v>
      </c>
      <c r="M26" s="40" t="s">
        <v>45</v>
      </c>
      <c r="N26" s="110" t="s">
        <v>46</v>
      </c>
      <c r="O26" s="71" t="s">
        <v>73</v>
      </c>
      <c r="P26" s="71" t="s">
        <v>74</v>
      </c>
      <c r="Q26" s="71" t="s">
        <v>75</v>
      </c>
      <c r="R26" s="71" t="s">
        <v>76</v>
      </c>
      <c r="T26" s="279"/>
      <c r="U26" s="279"/>
      <c r="V26" s="279"/>
      <c r="W26" s="279"/>
      <c r="X26" s="279"/>
      <c r="Y26" s="279"/>
      <c r="Z26" s="279"/>
      <c r="AA26" s="279"/>
      <c r="AB26" s="279"/>
    </row>
    <row r="27" spans="1:28" x14ac:dyDescent="0.2">
      <c r="A27" s="238" t="s">
        <v>77</v>
      </c>
      <c r="B27" s="239" t="s">
        <v>78</v>
      </c>
      <c r="C27" s="240" t="s">
        <v>57</v>
      </c>
      <c r="D27" s="241">
        <v>1</v>
      </c>
      <c r="E27" s="242">
        <v>1</v>
      </c>
      <c r="F27" s="243">
        <v>12</v>
      </c>
      <c r="G27" s="244">
        <v>120000</v>
      </c>
      <c r="H27" s="244">
        <v>28945</v>
      </c>
      <c r="I27" s="153">
        <f>G27-H27</f>
        <v>91055</v>
      </c>
      <c r="J27" s="148">
        <v>34656</v>
      </c>
      <c r="K27" s="148">
        <v>0</v>
      </c>
      <c r="L27" s="149">
        <f t="shared" ref="L27:L35" si="9">SUM(J27:K27)</f>
        <v>34656</v>
      </c>
      <c r="M27" s="31">
        <f t="shared" ref="M27:M36" si="10">IFERROR(L27/H27,"N/A")</f>
        <v>1.1973052340646053</v>
      </c>
      <c r="N27" s="151">
        <f>AB27</f>
        <v>60386</v>
      </c>
      <c r="O27" s="124"/>
      <c r="P27" s="125"/>
      <c r="Q27" s="124"/>
      <c r="R27" s="125"/>
      <c r="T27" s="281"/>
      <c r="U27" s="281"/>
      <c r="V27" s="281">
        <v>8570</v>
      </c>
      <c r="W27" s="281">
        <v>4048</v>
      </c>
      <c r="X27" s="281">
        <v>8656</v>
      </c>
      <c r="Y27" s="281">
        <f t="shared" ref="Y27:Y33" si="11">L27</f>
        <v>34656</v>
      </c>
      <c r="Z27" s="281"/>
      <c r="AA27" s="281">
        <f>4456</f>
        <v>4456</v>
      </c>
      <c r="AB27" s="281">
        <f>SUM(T27:AA27)</f>
        <v>60386</v>
      </c>
    </row>
    <row r="28" spans="1:28" x14ac:dyDescent="0.2">
      <c r="A28" s="238" t="s">
        <v>79</v>
      </c>
      <c r="B28" s="239" t="s">
        <v>80</v>
      </c>
      <c r="C28" s="240" t="s">
        <v>62</v>
      </c>
      <c r="D28" s="241">
        <v>1</v>
      </c>
      <c r="E28" s="242">
        <v>1</v>
      </c>
      <c r="F28" s="243">
        <v>12</v>
      </c>
      <c r="G28" s="244">
        <v>69000</v>
      </c>
      <c r="H28" s="244">
        <v>38820</v>
      </c>
      <c r="I28" s="158">
        <f t="shared" ref="I28:I35" si="12">G28-H28</f>
        <v>30180</v>
      </c>
      <c r="J28" s="148">
        <v>12147</v>
      </c>
      <c r="K28" s="148">
        <v>0</v>
      </c>
      <c r="L28" s="149">
        <f t="shared" si="9"/>
        <v>12147</v>
      </c>
      <c r="M28" s="31">
        <f t="shared" si="10"/>
        <v>0.31290571870170014</v>
      </c>
      <c r="N28" s="151">
        <f t="shared" ref="N28:N33" si="13">AB28</f>
        <v>36641</v>
      </c>
      <c r="O28" s="124"/>
      <c r="P28" s="125"/>
      <c r="Q28" s="124"/>
      <c r="R28" s="125"/>
      <c r="T28" s="281"/>
      <c r="U28" s="281"/>
      <c r="V28" s="281">
        <v>5293</v>
      </c>
      <c r="W28" s="281">
        <v>2328</v>
      </c>
      <c r="X28" s="281">
        <v>4550</v>
      </c>
      <c r="Y28" s="281">
        <f t="shared" si="11"/>
        <v>12147</v>
      </c>
      <c r="Z28" s="281">
        <f>5238</f>
        <v>5238</v>
      </c>
      <c r="AA28" s="281">
        <f>7085</f>
        <v>7085</v>
      </c>
      <c r="AB28" s="281">
        <f t="shared" ref="AB28:AB33" si="14">SUM(T28:AA28)</f>
        <v>36641</v>
      </c>
    </row>
    <row r="29" spans="1:28" x14ac:dyDescent="0.2">
      <c r="A29" s="238" t="s">
        <v>82</v>
      </c>
      <c r="B29" s="239" t="s">
        <v>80</v>
      </c>
      <c r="C29" s="240" t="s">
        <v>62</v>
      </c>
      <c r="D29" s="241">
        <v>1</v>
      </c>
      <c r="E29" s="242">
        <v>1</v>
      </c>
      <c r="F29" s="243">
        <v>12</v>
      </c>
      <c r="G29" s="244">
        <v>69000</v>
      </c>
      <c r="H29" s="244">
        <v>38820</v>
      </c>
      <c r="I29" s="158">
        <f t="shared" si="12"/>
        <v>30180</v>
      </c>
      <c r="J29" s="148">
        <v>9822</v>
      </c>
      <c r="K29" s="148">
        <v>0</v>
      </c>
      <c r="L29" s="149">
        <f t="shared" si="9"/>
        <v>9822</v>
      </c>
      <c r="M29" s="31">
        <f t="shared" si="10"/>
        <v>0.25301391035548687</v>
      </c>
      <c r="N29" s="151">
        <f t="shared" si="13"/>
        <v>33582</v>
      </c>
      <c r="O29" s="124"/>
      <c r="P29" s="125"/>
      <c r="Q29" s="124"/>
      <c r="R29" s="125"/>
      <c r="T29" s="281"/>
      <c r="U29" s="281"/>
      <c r="V29" s="281">
        <v>4163</v>
      </c>
      <c r="W29" s="281">
        <v>1958</v>
      </c>
      <c r="X29" s="281">
        <v>4196</v>
      </c>
      <c r="Y29" s="281">
        <f t="shared" si="11"/>
        <v>9822</v>
      </c>
      <c r="Z29" s="281">
        <v>5968</v>
      </c>
      <c r="AA29" s="281">
        <f>7475</f>
        <v>7475</v>
      </c>
      <c r="AB29" s="281">
        <f t="shared" si="14"/>
        <v>33582</v>
      </c>
    </row>
    <row r="30" spans="1:28" x14ac:dyDescent="0.2">
      <c r="A30" s="238" t="s">
        <v>83</v>
      </c>
      <c r="B30" s="239" t="s">
        <v>80</v>
      </c>
      <c r="C30" s="245" t="s">
        <v>62</v>
      </c>
      <c r="D30" s="241">
        <v>1</v>
      </c>
      <c r="E30" s="246">
        <v>1</v>
      </c>
      <c r="F30" s="247">
        <v>12</v>
      </c>
      <c r="G30" s="244">
        <v>65000</v>
      </c>
      <c r="H30" s="244">
        <v>38820</v>
      </c>
      <c r="I30" s="158">
        <f t="shared" si="12"/>
        <v>26180</v>
      </c>
      <c r="J30" s="148">
        <v>12200</v>
      </c>
      <c r="K30" s="148">
        <v>0</v>
      </c>
      <c r="L30" s="149">
        <f t="shared" si="9"/>
        <v>12200</v>
      </c>
      <c r="M30" s="31">
        <f t="shared" si="10"/>
        <v>0.31427099433281813</v>
      </c>
      <c r="N30" s="151">
        <f t="shared" si="13"/>
        <v>30918</v>
      </c>
      <c r="O30" s="124"/>
      <c r="P30" s="125"/>
      <c r="Q30" s="124"/>
      <c r="R30" s="125"/>
      <c r="T30" s="281"/>
      <c r="U30" s="281"/>
      <c r="V30" s="281">
        <v>4682</v>
      </c>
      <c r="W30" s="281">
        <v>2207</v>
      </c>
      <c r="X30" s="281">
        <v>4030</v>
      </c>
      <c r="Y30" s="281">
        <f t="shared" si="11"/>
        <v>12200</v>
      </c>
      <c r="Z30" s="281">
        <v>2500</v>
      </c>
      <c r="AA30" s="281">
        <f>5299</f>
        <v>5299</v>
      </c>
      <c r="AB30" s="281">
        <f t="shared" si="14"/>
        <v>30918</v>
      </c>
    </row>
    <row r="31" spans="1:28" x14ac:dyDescent="0.2">
      <c r="A31" s="238" t="s">
        <v>84</v>
      </c>
      <c r="B31" s="239" t="s">
        <v>80</v>
      </c>
      <c r="C31" s="245" t="s">
        <v>62</v>
      </c>
      <c r="D31" s="241">
        <v>1</v>
      </c>
      <c r="E31" s="246">
        <v>1</v>
      </c>
      <c r="F31" s="247">
        <v>12</v>
      </c>
      <c r="G31" s="244">
        <v>69000</v>
      </c>
      <c r="H31" s="244">
        <v>38820</v>
      </c>
      <c r="I31" s="158">
        <f t="shared" si="12"/>
        <v>30180</v>
      </c>
      <c r="J31" s="148">
        <v>10349</v>
      </c>
      <c r="K31" s="148">
        <v>0</v>
      </c>
      <c r="L31" s="149">
        <f t="shared" si="9"/>
        <v>10349</v>
      </c>
      <c r="M31" s="31">
        <f t="shared" si="10"/>
        <v>0.26658938691396189</v>
      </c>
      <c r="N31" s="151">
        <f t="shared" si="13"/>
        <v>34285</v>
      </c>
      <c r="O31" s="124"/>
      <c r="P31" s="125"/>
      <c r="Q31" s="124"/>
      <c r="R31" s="125"/>
      <c r="T31" s="281"/>
      <c r="U31" s="281"/>
      <c r="V31" s="281">
        <v>4857</v>
      </c>
      <c r="W31" s="281">
        <v>2364</v>
      </c>
      <c r="X31" s="281">
        <v>4409</v>
      </c>
      <c r="Y31" s="281">
        <f t="shared" si="11"/>
        <v>10349</v>
      </c>
      <c r="Z31" s="281">
        <f>5294</f>
        <v>5294</v>
      </c>
      <c r="AA31" s="281">
        <f>7012</f>
        <v>7012</v>
      </c>
      <c r="AB31" s="281">
        <f t="shared" si="14"/>
        <v>34285</v>
      </c>
    </row>
    <row r="32" spans="1:28" x14ac:dyDescent="0.2">
      <c r="A32" s="238" t="s">
        <v>85</v>
      </c>
      <c r="B32" s="239" t="s">
        <v>80</v>
      </c>
      <c r="C32" s="245" t="s">
        <v>62</v>
      </c>
      <c r="D32" s="241">
        <v>1</v>
      </c>
      <c r="E32" s="246">
        <v>1</v>
      </c>
      <c r="F32" s="247">
        <v>12</v>
      </c>
      <c r="G32" s="244">
        <v>65000</v>
      </c>
      <c r="H32" s="244">
        <v>38250</v>
      </c>
      <c r="I32" s="158">
        <f t="shared" si="12"/>
        <v>26750</v>
      </c>
      <c r="J32" s="148">
        <v>11154</v>
      </c>
      <c r="K32" s="148">
        <v>0</v>
      </c>
      <c r="L32" s="149">
        <f t="shared" si="9"/>
        <v>11154</v>
      </c>
      <c r="M32" s="31">
        <f t="shared" si="10"/>
        <v>0.29160784313725491</v>
      </c>
      <c r="N32" s="151">
        <f t="shared" si="13"/>
        <v>31015</v>
      </c>
      <c r="O32" s="124"/>
      <c r="P32" s="125"/>
      <c r="Q32" s="124"/>
      <c r="R32" s="125"/>
      <c r="T32" s="281"/>
      <c r="U32" s="281"/>
      <c r="V32" s="281">
        <v>4247</v>
      </c>
      <c r="W32" s="281">
        <v>2116</v>
      </c>
      <c r="X32" s="281">
        <v>3899</v>
      </c>
      <c r="Y32" s="281">
        <f t="shared" si="11"/>
        <v>11154</v>
      </c>
      <c r="Z32" s="281">
        <f>2500</f>
        <v>2500</v>
      </c>
      <c r="AA32" s="281">
        <f>7099</f>
        <v>7099</v>
      </c>
      <c r="AB32" s="281">
        <f t="shared" si="14"/>
        <v>31015</v>
      </c>
    </row>
    <row r="33" spans="1:28" x14ac:dyDescent="0.2">
      <c r="A33" s="238" t="s">
        <v>86</v>
      </c>
      <c r="B33" s="239" t="s">
        <v>80</v>
      </c>
      <c r="C33" s="245" t="s">
        <v>62</v>
      </c>
      <c r="D33" s="241">
        <v>1</v>
      </c>
      <c r="E33" s="246">
        <v>1</v>
      </c>
      <c r="F33" s="247">
        <v>12</v>
      </c>
      <c r="G33" s="244">
        <v>65000</v>
      </c>
      <c r="H33" s="244">
        <v>32250</v>
      </c>
      <c r="I33" s="158">
        <f t="shared" si="12"/>
        <v>32750</v>
      </c>
      <c r="J33" s="148">
        <v>10957</v>
      </c>
      <c r="K33" s="148">
        <v>0</v>
      </c>
      <c r="L33" s="149">
        <f t="shared" si="9"/>
        <v>10957</v>
      </c>
      <c r="M33" s="31">
        <f t="shared" si="10"/>
        <v>0.3397519379844961</v>
      </c>
      <c r="N33" s="151">
        <f t="shared" si="13"/>
        <v>36450</v>
      </c>
      <c r="O33" s="124"/>
      <c r="P33" s="125"/>
      <c r="Q33" s="124"/>
      <c r="R33" s="125"/>
      <c r="T33" s="281"/>
      <c r="U33" s="281"/>
      <c r="V33" s="281">
        <f>4580+3351</f>
        <v>7931</v>
      </c>
      <c r="W33" s="281">
        <f>2360+1227</f>
        <v>3587</v>
      </c>
      <c r="X33" s="281">
        <v>4401</v>
      </c>
      <c r="Y33" s="281">
        <f t="shared" si="11"/>
        <v>10957</v>
      </c>
      <c r="Z33" s="281">
        <f>2500</f>
        <v>2500</v>
      </c>
      <c r="AA33" s="281">
        <f>7074</f>
        <v>7074</v>
      </c>
      <c r="AB33" s="281">
        <f t="shared" si="14"/>
        <v>36450</v>
      </c>
    </row>
    <row r="34" spans="1:28" x14ac:dyDescent="0.2">
      <c r="A34" s="238"/>
      <c r="B34" s="239"/>
      <c r="C34" s="245"/>
      <c r="D34" s="248"/>
      <c r="E34" s="246"/>
      <c r="F34" s="247"/>
      <c r="G34" s="244">
        <v>0</v>
      </c>
      <c r="H34" s="244">
        <v>0</v>
      </c>
      <c r="I34" s="158">
        <f t="shared" si="12"/>
        <v>0</v>
      </c>
      <c r="J34" s="148">
        <v>0</v>
      </c>
      <c r="K34" s="148">
        <v>0</v>
      </c>
      <c r="L34" s="149">
        <f t="shared" si="9"/>
        <v>0</v>
      </c>
      <c r="M34" s="31" t="str">
        <f t="shared" si="10"/>
        <v>N/A</v>
      </c>
      <c r="N34" s="151">
        <v>0</v>
      </c>
      <c r="O34" s="124"/>
      <c r="P34" s="125"/>
      <c r="Q34" s="124"/>
      <c r="R34" s="125"/>
      <c r="T34" s="281"/>
      <c r="U34" s="281"/>
      <c r="V34" s="281"/>
      <c r="W34" s="281"/>
      <c r="X34" s="281"/>
      <c r="Y34" s="281"/>
      <c r="Z34" s="281"/>
      <c r="AA34" s="281"/>
      <c r="AB34" s="281"/>
    </row>
    <row r="35" spans="1:28" x14ac:dyDescent="0.2">
      <c r="A35" s="238"/>
      <c r="B35" s="239"/>
      <c r="C35" s="245"/>
      <c r="D35" s="248"/>
      <c r="E35" s="246"/>
      <c r="F35" s="247"/>
      <c r="G35" s="244">
        <v>0</v>
      </c>
      <c r="H35" s="244">
        <v>0</v>
      </c>
      <c r="I35" s="158">
        <f t="shared" si="12"/>
        <v>0</v>
      </c>
      <c r="J35" s="148">
        <v>0</v>
      </c>
      <c r="K35" s="148">
        <v>0</v>
      </c>
      <c r="L35" s="149">
        <f t="shared" si="9"/>
        <v>0</v>
      </c>
      <c r="M35" s="31" t="str">
        <f t="shared" si="10"/>
        <v>N/A</v>
      </c>
      <c r="N35" s="151">
        <v>0</v>
      </c>
      <c r="O35" s="124"/>
      <c r="P35" s="125"/>
      <c r="Q35" s="124"/>
      <c r="R35" s="125"/>
    </row>
    <row r="36" spans="1:28" ht="15.75" thickBot="1" x14ac:dyDescent="0.25">
      <c r="A36" s="111"/>
      <c r="B36" s="102"/>
      <c r="C36" s="112" t="s">
        <v>87</v>
      </c>
      <c r="D36" s="113"/>
      <c r="E36" s="113"/>
      <c r="F36" s="114"/>
      <c r="G36" s="150">
        <f t="shared" ref="G36:L36" si="15">SUM(G27:G35)</f>
        <v>522000</v>
      </c>
      <c r="H36" s="150">
        <f t="shared" si="15"/>
        <v>254725</v>
      </c>
      <c r="I36" s="150">
        <f t="shared" si="15"/>
        <v>267275</v>
      </c>
      <c r="J36" s="150">
        <f t="shared" si="15"/>
        <v>101285</v>
      </c>
      <c r="K36" s="150">
        <f t="shared" si="15"/>
        <v>0</v>
      </c>
      <c r="L36" s="150">
        <f t="shared" si="15"/>
        <v>101285</v>
      </c>
      <c r="M36" s="115">
        <f t="shared" si="10"/>
        <v>0.3976248895868093</v>
      </c>
      <c r="N36" s="152">
        <f>SUM(N27:N35)</f>
        <v>263277</v>
      </c>
    </row>
    <row r="37" spans="1:28" ht="15.75" thickBot="1" x14ac:dyDescent="0.25">
      <c r="O37" s="72"/>
      <c r="P37" s="72"/>
      <c r="Q37" s="72"/>
      <c r="R37" s="72"/>
    </row>
    <row r="38" spans="1:28" x14ac:dyDescent="0.2">
      <c r="A38" s="12" t="s">
        <v>88</v>
      </c>
      <c r="B38" s="11"/>
      <c r="C38" s="11"/>
      <c r="D38" s="11"/>
      <c r="E38" s="11"/>
      <c r="F38" s="10"/>
      <c r="G38" s="9"/>
      <c r="H38" s="9"/>
      <c r="I38" s="9"/>
      <c r="J38" s="9"/>
      <c r="K38" s="9"/>
      <c r="L38" s="9"/>
      <c r="M38" s="8"/>
      <c r="N38" s="7"/>
      <c r="O38" s="72"/>
      <c r="P38" s="72"/>
      <c r="Q38" s="72"/>
      <c r="R38" s="72"/>
    </row>
    <row r="39" spans="1:28" s="53" customFormat="1" x14ac:dyDescent="0.2">
      <c r="A39" s="49" t="s">
        <v>89</v>
      </c>
      <c r="B39" s="57"/>
      <c r="C39" s="57"/>
      <c r="D39" s="57"/>
      <c r="E39" s="57"/>
      <c r="F39" s="51"/>
      <c r="G39" s="15"/>
      <c r="H39" s="15"/>
      <c r="I39" s="15"/>
      <c r="J39" s="15"/>
      <c r="K39" s="15"/>
      <c r="L39" s="15"/>
      <c r="M39" s="14"/>
      <c r="N39" s="13"/>
      <c r="O39" s="73"/>
      <c r="P39" s="73"/>
      <c r="Q39" s="73"/>
      <c r="R39" s="73"/>
      <c r="T39" s="279"/>
      <c r="U39" s="279"/>
      <c r="V39" s="279"/>
      <c r="W39" s="279"/>
      <c r="X39" s="279"/>
      <c r="Y39" s="279"/>
      <c r="Z39" s="279"/>
      <c r="AA39" s="279"/>
      <c r="AB39" s="279"/>
    </row>
    <row r="40" spans="1:28" ht="33.75" x14ac:dyDescent="0.2">
      <c r="A40" s="43" t="s">
        <v>90</v>
      </c>
      <c r="B40" s="44"/>
      <c r="C40" s="45"/>
      <c r="D40" s="45"/>
      <c r="E40" s="45"/>
      <c r="F40" s="45"/>
      <c r="G40" s="32" t="s">
        <v>39</v>
      </c>
      <c r="H40" s="32" t="s">
        <v>40</v>
      </c>
      <c r="I40" s="32" t="s">
        <v>41</v>
      </c>
      <c r="J40" s="32" t="s">
        <v>42</v>
      </c>
      <c r="K40" s="32" t="s">
        <v>43</v>
      </c>
      <c r="L40" s="32" t="s">
        <v>44</v>
      </c>
      <c r="M40" s="40" t="s">
        <v>45</v>
      </c>
      <c r="N40" s="41" t="s">
        <v>46</v>
      </c>
      <c r="O40" s="71" t="s">
        <v>73</v>
      </c>
      <c r="P40" s="71" t="s">
        <v>74</v>
      </c>
      <c r="Q40" s="71" t="s">
        <v>75</v>
      </c>
      <c r="R40" s="71" t="s">
        <v>76</v>
      </c>
    </row>
    <row r="41" spans="1:28" x14ac:dyDescent="0.2">
      <c r="A41" s="249" t="s">
        <v>91</v>
      </c>
      <c r="B41" s="250"/>
      <c r="C41" s="250"/>
      <c r="D41" s="251"/>
      <c r="E41" s="252">
        <v>7.6499999999999999E-2</v>
      </c>
      <c r="F41" s="30"/>
      <c r="G41" s="253">
        <f>$G$36*E41</f>
        <v>39933</v>
      </c>
      <c r="H41" s="253">
        <f>$H$36*E41</f>
        <v>19486.462499999998</v>
      </c>
      <c r="I41" s="153">
        <f t="shared" ref="I41:I47" si="16">G41-H41</f>
        <v>20446.537500000002</v>
      </c>
      <c r="J41" s="148">
        <v>7579</v>
      </c>
      <c r="K41" s="148">
        <v>0</v>
      </c>
      <c r="L41" s="153">
        <f>SUM(J41:K41)</f>
        <v>7579</v>
      </c>
      <c r="M41" s="31">
        <f>IFERROR(L41/H41,"N/A")</f>
        <v>0.38893667847614727</v>
      </c>
      <c r="N41" s="151">
        <f t="shared" ref="N41:N45" si="17">AB41</f>
        <v>19667.45</v>
      </c>
      <c r="O41" s="72"/>
      <c r="P41" s="72"/>
      <c r="Q41" s="72"/>
      <c r="R41" s="72"/>
      <c r="T41" s="281"/>
      <c r="U41" s="281"/>
      <c r="V41" s="281">
        <v>3008.4</v>
      </c>
      <c r="W41" s="281">
        <v>1393.92</v>
      </c>
      <c r="X41" s="281">
        <v>2566.13</v>
      </c>
      <c r="Y41" s="281">
        <f>L41</f>
        <v>7579</v>
      </c>
      <c r="Z41" s="281">
        <v>1820</v>
      </c>
      <c r="AA41" s="281">
        <v>3300</v>
      </c>
      <c r="AB41" s="281">
        <f t="shared" ref="AB41:AB45" si="18">SUM(T41:AA41)</f>
        <v>19667.45</v>
      </c>
    </row>
    <row r="42" spans="1:28" x14ac:dyDescent="0.2">
      <c r="A42" s="254" t="s">
        <v>92</v>
      </c>
      <c r="B42" s="250"/>
      <c r="C42" s="255"/>
      <c r="D42" s="251"/>
      <c r="E42" s="252">
        <v>0.01</v>
      </c>
      <c r="F42" s="30"/>
      <c r="G42" s="253">
        <f t="shared" ref="G42:G45" si="19">$G$36*E42</f>
        <v>5220</v>
      </c>
      <c r="H42" s="253">
        <f t="shared" ref="H42:H45" si="20">$H$36*E42</f>
        <v>2547.25</v>
      </c>
      <c r="I42" s="158">
        <f t="shared" si="16"/>
        <v>2672.75</v>
      </c>
      <c r="J42" s="148">
        <v>753</v>
      </c>
      <c r="K42" s="157">
        <v>0</v>
      </c>
      <c r="L42" s="158">
        <f t="shared" ref="L42:L47" si="21">SUM(J42:K42)</f>
        <v>753</v>
      </c>
      <c r="M42" s="29">
        <f t="shared" ref="M42:M47" si="22">IFERROR(L42/H42,"N/A")</f>
        <v>0.29561291588968497</v>
      </c>
      <c r="N42" s="151">
        <f t="shared" si="17"/>
        <v>1775.1399999999999</v>
      </c>
      <c r="O42" s="72"/>
      <c r="P42" s="72"/>
      <c r="Q42" s="72"/>
      <c r="R42" s="72"/>
      <c r="T42" s="281"/>
      <c r="U42" s="281"/>
      <c r="V42" s="281">
        <v>262.68</v>
      </c>
      <c r="W42" s="281">
        <v>92.27</v>
      </c>
      <c r="X42" s="281">
        <v>227.19</v>
      </c>
      <c r="Y42" s="281">
        <f t="shared" ref="Y42:Y45" si="23">L42</f>
        <v>753</v>
      </c>
      <c r="Z42" s="281">
        <v>40</v>
      </c>
      <c r="AA42" s="281">
        <v>400</v>
      </c>
      <c r="AB42" s="281">
        <f t="shared" si="18"/>
        <v>1775.1399999999999</v>
      </c>
    </row>
    <row r="43" spans="1:28" x14ac:dyDescent="0.2">
      <c r="A43" s="254" t="s">
        <v>93</v>
      </c>
      <c r="B43" s="250"/>
      <c r="C43" s="255"/>
      <c r="D43" s="251"/>
      <c r="E43" s="252">
        <v>8.5000000000000006E-3</v>
      </c>
      <c r="F43" s="30"/>
      <c r="G43" s="253">
        <f t="shared" si="19"/>
        <v>4437</v>
      </c>
      <c r="H43" s="253">
        <f t="shared" si="20"/>
        <v>2165.1625000000004</v>
      </c>
      <c r="I43" s="158">
        <f t="shared" si="16"/>
        <v>2271.8374999999996</v>
      </c>
      <c r="J43" s="148">
        <v>460</v>
      </c>
      <c r="K43" s="157">
        <v>0</v>
      </c>
      <c r="L43" s="158">
        <f t="shared" si="21"/>
        <v>460</v>
      </c>
      <c r="M43" s="29">
        <f t="shared" si="22"/>
        <v>0.2124551852343646</v>
      </c>
      <c r="N43" s="151">
        <f t="shared" si="17"/>
        <v>1171.3600000000001</v>
      </c>
      <c r="O43" s="72"/>
      <c r="P43" s="72"/>
      <c r="Q43" s="72"/>
      <c r="R43" s="72"/>
      <c r="T43" s="281"/>
      <c r="U43" s="281"/>
      <c r="V43" s="281">
        <v>-179.26</v>
      </c>
      <c r="W43" s="281">
        <v>313.76</v>
      </c>
      <c r="X43" s="281">
        <v>136.86000000000001</v>
      </c>
      <c r="Y43" s="281">
        <f t="shared" si="23"/>
        <v>460</v>
      </c>
      <c r="Z43" s="281">
        <v>440</v>
      </c>
      <c r="AA43" s="281">
        <v>0</v>
      </c>
      <c r="AB43" s="281">
        <f t="shared" si="18"/>
        <v>1171.3600000000001</v>
      </c>
    </row>
    <row r="44" spans="1:28" x14ac:dyDescent="0.2">
      <c r="A44" s="254" t="s">
        <v>94</v>
      </c>
      <c r="B44" s="250"/>
      <c r="C44" s="255"/>
      <c r="D44" s="251"/>
      <c r="E44" s="252">
        <v>0.05</v>
      </c>
      <c r="F44" s="30"/>
      <c r="G44" s="253">
        <f t="shared" si="19"/>
        <v>26100</v>
      </c>
      <c r="H44" s="253">
        <f t="shared" si="20"/>
        <v>12736.25</v>
      </c>
      <c r="I44" s="158">
        <f t="shared" si="16"/>
        <v>13363.75</v>
      </c>
      <c r="J44" s="148">
        <v>6328</v>
      </c>
      <c r="K44" s="157">
        <v>0</v>
      </c>
      <c r="L44" s="158">
        <f t="shared" si="21"/>
        <v>6328</v>
      </c>
      <c r="M44" s="29">
        <f t="shared" si="22"/>
        <v>0.49684954362547845</v>
      </c>
      <c r="N44" s="151">
        <f t="shared" si="17"/>
        <v>12141.73</v>
      </c>
      <c r="O44" s="72"/>
      <c r="P44" s="72"/>
      <c r="Q44" s="72"/>
      <c r="R44" s="72"/>
      <c r="T44" s="281">
        <v>1822</v>
      </c>
      <c r="U44" s="281"/>
      <c r="V44" s="281">
        <v>1255.08</v>
      </c>
      <c r="W44" s="281">
        <v>384.11</v>
      </c>
      <c r="X44" s="281">
        <v>1252.54</v>
      </c>
      <c r="Y44" s="281">
        <f t="shared" si="23"/>
        <v>6328</v>
      </c>
      <c r="Z44" s="281">
        <v>1100</v>
      </c>
      <c r="AA44" s="281">
        <v>0</v>
      </c>
      <c r="AB44" s="281">
        <f t="shared" si="18"/>
        <v>12141.73</v>
      </c>
    </row>
    <row r="45" spans="1:28" x14ac:dyDescent="0.2">
      <c r="A45" s="254" t="s">
        <v>95</v>
      </c>
      <c r="B45" s="250"/>
      <c r="C45" s="255"/>
      <c r="D45" s="251"/>
      <c r="E45" s="252">
        <v>5.0000000000000001E-3</v>
      </c>
      <c r="F45" s="30"/>
      <c r="G45" s="253">
        <f t="shared" si="19"/>
        <v>2610</v>
      </c>
      <c r="H45" s="253">
        <f t="shared" si="20"/>
        <v>1273.625</v>
      </c>
      <c r="I45" s="158">
        <f t="shared" si="16"/>
        <v>1336.375</v>
      </c>
      <c r="J45" s="148">
        <v>990</v>
      </c>
      <c r="K45" s="157">
        <v>0</v>
      </c>
      <c r="L45" s="158">
        <f t="shared" si="21"/>
        <v>990</v>
      </c>
      <c r="M45" s="29">
        <f t="shared" si="22"/>
        <v>0.77730886249877318</v>
      </c>
      <c r="N45" s="151">
        <f t="shared" si="17"/>
        <v>2300.94</v>
      </c>
      <c r="O45" s="72"/>
      <c r="P45" s="72"/>
      <c r="Q45" s="72"/>
      <c r="R45" s="72"/>
      <c r="T45" s="281"/>
      <c r="U45" s="281"/>
      <c r="V45" s="281">
        <v>324.35000000000002</v>
      </c>
      <c r="W45" s="281">
        <v>161.11000000000001</v>
      </c>
      <c r="X45" s="281">
        <v>325.48</v>
      </c>
      <c r="Y45" s="281">
        <f t="shared" si="23"/>
        <v>990</v>
      </c>
      <c r="Z45" s="281">
        <v>100</v>
      </c>
      <c r="AA45" s="281">
        <v>400</v>
      </c>
      <c r="AB45" s="281">
        <f t="shared" si="18"/>
        <v>2300.94</v>
      </c>
    </row>
    <row r="46" spans="1:28" x14ac:dyDescent="0.2">
      <c r="A46" s="254"/>
      <c r="B46" s="250"/>
      <c r="C46" s="255"/>
      <c r="D46" s="251"/>
      <c r="E46" s="256"/>
      <c r="F46" s="30"/>
      <c r="G46" s="253">
        <v>0</v>
      </c>
      <c r="H46" s="253">
        <v>0</v>
      </c>
      <c r="I46" s="158">
        <f t="shared" si="16"/>
        <v>0</v>
      </c>
      <c r="J46" s="148">
        <v>0</v>
      </c>
      <c r="K46" s="157">
        <v>0</v>
      </c>
      <c r="L46" s="158">
        <f t="shared" si="21"/>
        <v>0</v>
      </c>
      <c r="M46" s="29" t="str">
        <f t="shared" si="22"/>
        <v>N/A</v>
      </c>
      <c r="N46" s="161">
        <v>0</v>
      </c>
      <c r="O46" s="72"/>
      <c r="P46" s="72"/>
      <c r="Q46" s="72"/>
      <c r="R46" s="72"/>
      <c r="T46" s="281"/>
      <c r="U46" s="281"/>
      <c r="V46" s="281"/>
      <c r="W46" s="281"/>
      <c r="X46" s="281"/>
      <c r="Y46" s="281"/>
      <c r="Z46" s="281"/>
      <c r="AA46" s="281"/>
      <c r="AB46" s="281"/>
    </row>
    <row r="47" spans="1:28" x14ac:dyDescent="0.2">
      <c r="A47" s="254"/>
      <c r="B47" s="250"/>
      <c r="C47" s="255"/>
      <c r="D47" s="251"/>
      <c r="E47" s="256"/>
      <c r="F47" s="30"/>
      <c r="G47" s="253">
        <v>0</v>
      </c>
      <c r="H47" s="253">
        <v>0</v>
      </c>
      <c r="I47" s="158">
        <f t="shared" si="16"/>
        <v>0</v>
      </c>
      <c r="J47" s="148">
        <v>0</v>
      </c>
      <c r="K47" s="157">
        <v>0</v>
      </c>
      <c r="L47" s="158">
        <f t="shared" si="21"/>
        <v>0</v>
      </c>
      <c r="M47" s="29" t="str">
        <f t="shared" si="22"/>
        <v>N/A</v>
      </c>
      <c r="N47" s="161">
        <v>0</v>
      </c>
      <c r="O47" s="72"/>
      <c r="P47" s="72"/>
      <c r="Q47" s="72"/>
      <c r="R47" s="72"/>
      <c r="T47" s="281"/>
      <c r="U47" s="281"/>
      <c r="V47" s="281"/>
      <c r="W47" s="281"/>
      <c r="X47" s="281"/>
      <c r="Y47" s="281"/>
      <c r="Z47" s="281"/>
      <c r="AA47" s="281"/>
      <c r="AB47" s="281"/>
    </row>
    <row r="48" spans="1:28" ht="15.75" thickBot="1" x14ac:dyDescent="0.25">
      <c r="A48" s="46"/>
      <c r="B48" s="42"/>
      <c r="C48" s="144" t="s">
        <v>96</v>
      </c>
      <c r="D48" s="145"/>
      <c r="E48" s="145"/>
      <c r="F48" s="47"/>
      <c r="G48" s="159">
        <f t="shared" ref="G48:L48" si="24">SUM(G41:G47)</f>
        <v>78300</v>
      </c>
      <c r="H48" s="159">
        <f t="shared" si="24"/>
        <v>38208.75</v>
      </c>
      <c r="I48" s="159">
        <f t="shared" si="24"/>
        <v>40091.25</v>
      </c>
      <c r="J48" s="159">
        <f t="shared" si="24"/>
        <v>16110</v>
      </c>
      <c r="K48" s="159">
        <f t="shared" si="24"/>
        <v>0</v>
      </c>
      <c r="L48" s="159">
        <f t="shared" si="24"/>
        <v>16110</v>
      </c>
      <c r="M48" s="48">
        <f>IFERROR(L48/H48,"N/A")</f>
        <v>0.42163117087054669</v>
      </c>
      <c r="N48" s="162">
        <f>SUM(N41:N47)</f>
        <v>37056.620000000003</v>
      </c>
      <c r="O48" s="124"/>
      <c r="P48" s="125"/>
      <c r="Q48" s="124"/>
      <c r="R48" s="125"/>
      <c r="T48" s="281"/>
      <c r="U48" s="281"/>
      <c r="V48" s="281"/>
      <c r="W48" s="281"/>
      <c r="X48" s="281"/>
      <c r="Y48" s="281"/>
      <c r="Z48" s="281"/>
      <c r="AA48" s="281"/>
      <c r="AB48" s="281"/>
    </row>
    <row r="49" spans="1:28" ht="15.75" thickBot="1" x14ac:dyDescent="0.25">
      <c r="O49" s="72"/>
      <c r="P49" s="72"/>
      <c r="Q49" s="72"/>
      <c r="R49" s="72"/>
      <c r="T49" s="281"/>
      <c r="U49" s="281"/>
      <c r="V49" s="281"/>
      <c r="W49" s="281"/>
      <c r="X49" s="281"/>
      <c r="Y49" s="281"/>
      <c r="Z49" s="281"/>
      <c r="AA49" s="281"/>
      <c r="AB49" s="281"/>
    </row>
    <row r="50" spans="1:28" s="53" customFormat="1" x14ac:dyDescent="0.2">
      <c r="A50" s="12" t="s">
        <v>98</v>
      </c>
      <c r="B50" s="11"/>
      <c r="C50" s="11"/>
      <c r="D50" s="11"/>
      <c r="E50" s="11"/>
      <c r="F50" s="10"/>
      <c r="G50" s="9"/>
      <c r="H50" s="9"/>
      <c r="I50" s="9"/>
      <c r="J50" s="9"/>
      <c r="K50" s="9"/>
      <c r="L50" s="9"/>
      <c r="M50" s="8"/>
      <c r="N50" s="7"/>
      <c r="O50" s="72"/>
      <c r="P50" s="72"/>
      <c r="Q50" s="72"/>
      <c r="R50" s="72"/>
      <c r="T50" s="281"/>
      <c r="U50" s="281"/>
      <c r="V50" s="281"/>
      <c r="W50" s="281"/>
      <c r="X50" s="281"/>
      <c r="Y50" s="281"/>
      <c r="Z50" s="281"/>
      <c r="AA50" s="281"/>
      <c r="AB50" s="281"/>
    </row>
    <row r="51" spans="1:28" s="53" customFormat="1" x14ac:dyDescent="0.2">
      <c r="A51" s="49" t="s">
        <v>99</v>
      </c>
      <c r="B51" s="57"/>
      <c r="C51" s="57"/>
      <c r="D51" s="57"/>
      <c r="E51" s="57"/>
      <c r="F51" s="51"/>
      <c r="G51" s="15"/>
      <c r="H51" s="15"/>
      <c r="I51" s="15"/>
      <c r="J51" s="15"/>
      <c r="K51" s="15"/>
      <c r="L51" s="15"/>
      <c r="M51" s="14"/>
      <c r="N51" s="13"/>
      <c r="O51" s="73"/>
      <c r="P51" s="73"/>
      <c r="Q51" s="73"/>
      <c r="R51" s="73"/>
      <c r="T51" s="281"/>
      <c r="U51" s="281"/>
      <c r="V51" s="281"/>
      <c r="W51" s="281"/>
      <c r="X51" s="281"/>
      <c r="Y51" s="281"/>
      <c r="Z51" s="281"/>
      <c r="AA51" s="281"/>
      <c r="AB51" s="281"/>
    </row>
    <row r="52" spans="1:28" ht="33.75" x14ac:dyDescent="0.2">
      <c r="A52" s="43" t="s">
        <v>90</v>
      </c>
      <c r="B52" s="44"/>
      <c r="C52" s="45"/>
      <c r="D52" s="45"/>
      <c r="E52" s="45"/>
      <c r="F52" s="45"/>
      <c r="G52" s="32" t="s">
        <v>39</v>
      </c>
      <c r="H52" s="32" t="s">
        <v>40</v>
      </c>
      <c r="I52" s="32" t="s">
        <v>41</v>
      </c>
      <c r="J52" s="32" t="s">
        <v>42</v>
      </c>
      <c r="K52" s="32" t="s">
        <v>43</v>
      </c>
      <c r="L52" s="32" t="s">
        <v>44</v>
      </c>
      <c r="M52" s="40" t="s">
        <v>45</v>
      </c>
      <c r="N52" s="41" t="s">
        <v>46</v>
      </c>
      <c r="O52" s="71" t="s">
        <v>73</v>
      </c>
      <c r="P52" s="71" t="s">
        <v>74</v>
      </c>
      <c r="Q52" s="71" t="s">
        <v>75</v>
      </c>
      <c r="R52" s="71" t="s">
        <v>76</v>
      </c>
      <c r="T52" s="281"/>
      <c r="U52" s="281"/>
      <c r="V52" s="281"/>
      <c r="W52" s="281"/>
      <c r="X52" s="281"/>
      <c r="Y52" s="281"/>
      <c r="Z52" s="281"/>
      <c r="AA52" s="281"/>
      <c r="AB52" s="281"/>
    </row>
    <row r="53" spans="1:28" x14ac:dyDescent="0.2">
      <c r="A53" s="257" t="s">
        <v>100</v>
      </c>
      <c r="B53" s="258"/>
      <c r="C53" s="259"/>
      <c r="D53" s="260"/>
      <c r="E53" s="261"/>
      <c r="F53" s="30"/>
      <c r="G53" s="244">
        <f>(69.91*7)*12</f>
        <v>5872.4400000000005</v>
      </c>
      <c r="H53" s="244">
        <v>1500</v>
      </c>
      <c r="I53" s="153">
        <f>G53-H53</f>
        <v>4372.4400000000005</v>
      </c>
      <c r="J53" s="148">
        <v>2034</v>
      </c>
      <c r="K53" s="148">
        <v>0</v>
      </c>
      <c r="L53" s="153">
        <f>SUM(J53:K53)</f>
        <v>2034</v>
      </c>
      <c r="M53" s="31">
        <f>IFERROR(L53/H53,"N/A")</f>
        <v>1.3560000000000001</v>
      </c>
      <c r="N53" s="151">
        <f t="shared" ref="N53:N55" si="25">AB53</f>
        <v>3966.5699999999997</v>
      </c>
      <c r="O53" s="72"/>
      <c r="P53" s="72"/>
      <c r="Q53" s="72"/>
      <c r="R53" s="72"/>
      <c r="T53" s="281"/>
      <c r="U53" s="281"/>
      <c r="V53" s="281">
        <v>1593.52</v>
      </c>
      <c r="W53" s="281"/>
      <c r="X53" s="281">
        <f>339.05</f>
        <v>339.05</v>
      </c>
      <c r="Y53" s="281">
        <f t="shared" ref="Y53:Y55" si="26">L53</f>
        <v>2034</v>
      </c>
      <c r="Z53" s="281"/>
      <c r="AA53" s="281"/>
      <c r="AB53" s="281">
        <f t="shared" ref="AB53:AB56" si="27">SUM(T53:AA53)</f>
        <v>3966.5699999999997</v>
      </c>
    </row>
    <row r="54" spans="1:28" x14ac:dyDescent="0.2">
      <c r="A54" s="262" t="s">
        <v>102</v>
      </c>
      <c r="B54" s="258"/>
      <c r="C54" s="259"/>
      <c r="D54" s="260"/>
      <c r="E54" s="261"/>
      <c r="F54" s="30"/>
      <c r="G54" s="244">
        <f>(22.25*7)*12</f>
        <v>1869</v>
      </c>
      <c r="H54" s="244">
        <v>776</v>
      </c>
      <c r="I54" s="158">
        <f t="shared" ref="I54:I57" si="28">G54-H54</f>
        <v>1093</v>
      </c>
      <c r="J54" s="148">
        <v>1016</v>
      </c>
      <c r="K54" s="157">
        <v>0</v>
      </c>
      <c r="L54" s="158">
        <f t="shared" ref="L54:L57" si="29">SUM(J54:K54)</f>
        <v>1016</v>
      </c>
      <c r="M54" s="29">
        <f t="shared" ref="M54:M57" si="30">IFERROR(L54/H54,"N/A")</f>
        <v>1.3092783505154639</v>
      </c>
      <c r="N54" s="151">
        <f t="shared" si="25"/>
        <v>1349.95</v>
      </c>
      <c r="O54" s="72"/>
      <c r="P54" s="72"/>
      <c r="Q54" s="72"/>
      <c r="R54" s="72"/>
      <c r="T54" s="281"/>
      <c r="U54" s="281"/>
      <c r="V54" s="281">
        <v>155.19</v>
      </c>
      <c r="W54" s="281"/>
      <c r="X54" s="281">
        <f>178.76</f>
        <v>178.76</v>
      </c>
      <c r="Y54" s="281">
        <f t="shared" si="26"/>
        <v>1016</v>
      </c>
      <c r="Z54" s="281"/>
      <c r="AA54" s="281"/>
      <c r="AB54" s="281">
        <f t="shared" si="27"/>
        <v>1349.95</v>
      </c>
    </row>
    <row r="55" spans="1:28" x14ac:dyDescent="0.2">
      <c r="A55" s="262" t="s">
        <v>103</v>
      </c>
      <c r="B55" s="258"/>
      <c r="C55" s="259"/>
      <c r="D55" s="260"/>
      <c r="E55" s="261"/>
      <c r="F55" s="30"/>
      <c r="G55" s="253">
        <v>4020</v>
      </c>
      <c r="H55" s="253">
        <v>500</v>
      </c>
      <c r="I55" s="164">
        <f t="shared" si="28"/>
        <v>3520</v>
      </c>
      <c r="J55" s="163">
        <v>4523</v>
      </c>
      <c r="K55" s="163">
        <v>0</v>
      </c>
      <c r="L55" s="158">
        <f t="shared" si="29"/>
        <v>4523</v>
      </c>
      <c r="M55" s="29">
        <f t="shared" si="30"/>
        <v>9.0459999999999994</v>
      </c>
      <c r="N55" s="151">
        <f t="shared" si="25"/>
        <v>32628.94</v>
      </c>
      <c r="O55" s="72"/>
      <c r="P55" s="72"/>
      <c r="Q55" s="72"/>
      <c r="R55" s="72"/>
      <c r="T55" s="281"/>
      <c r="U55" s="281">
        <v>27272.44</v>
      </c>
      <c r="V55" s="281">
        <f>549.4</f>
        <v>549.4</v>
      </c>
      <c r="W55" s="281"/>
      <c r="X55" s="281">
        <f>284.1</f>
        <v>284.10000000000002</v>
      </c>
      <c r="Y55" s="281">
        <f t="shared" si="26"/>
        <v>4523</v>
      </c>
      <c r="Z55" s="281"/>
      <c r="AA55" s="281"/>
      <c r="AB55" s="281">
        <f t="shared" si="27"/>
        <v>32628.94</v>
      </c>
    </row>
    <row r="56" spans="1:28" x14ac:dyDescent="0.2">
      <c r="A56" s="263"/>
      <c r="B56" s="258"/>
      <c r="C56" s="259"/>
      <c r="D56" s="260"/>
      <c r="E56" s="261"/>
      <c r="F56" s="30"/>
      <c r="G56" s="253">
        <v>0</v>
      </c>
      <c r="H56" s="253">
        <v>0</v>
      </c>
      <c r="I56" s="164">
        <f t="shared" si="28"/>
        <v>0</v>
      </c>
      <c r="J56" s="163">
        <v>0</v>
      </c>
      <c r="K56" s="163">
        <v>0</v>
      </c>
      <c r="L56" s="158">
        <f t="shared" si="29"/>
        <v>0</v>
      </c>
      <c r="M56" s="29" t="str">
        <f t="shared" si="30"/>
        <v>N/A</v>
      </c>
      <c r="N56" s="161">
        <v>0</v>
      </c>
      <c r="O56" s="72"/>
      <c r="P56" s="72"/>
      <c r="Q56" s="72"/>
      <c r="R56" s="72"/>
      <c r="T56" s="281"/>
      <c r="U56" s="281"/>
      <c r="V56" s="281"/>
      <c r="W56" s="281"/>
      <c r="X56" s="281"/>
      <c r="Y56" s="281"/>
      <c r="Z56" s="281"/>
      <c r="AA56" s="281"/>
      <c r="AB56" s="281">
        <f t="shared" si="27"/>
        <v>0</v>
      </c>
    </row>
    <row r="57" spans="1:28" x14ac:dyDescent="0.2">
      <c r="A57" s="262"/>
      <c r="B57" s="258"/>
      <c r="C57" s="259"/>
      <c r="D57" s="260"/>
      <c r="E57" s="261"/>
      <c r="F57" s="30"/>
      <c r="G57" s="253">
        <v>0</v>
      </c>
      <c r="H57" s="253">
        <v>0</v>
      </c>
      <c r="I57" s="164">
        <f t="shared" si="28"/>
        <v>0</v>
      </c>
      <c r="J57" s="163">
        <v>0</v>
      </c>
      <c r="K57" s="163">
        <v>0</v>
      </c>
      <c r="L57" s="158">
        <f t="shared" si="29"/>
        <v>0</v>
      </c>
      <c r="M57" s="29" t="str">
        <f t="shared" si="30"/>
        <v>N/A</v>
      </c>
      <c r="N57" s="161">
        <v>0</v>
      </c>
      <c r="O57" s="72"/>
      <c r="P57" s="72"/>
      <c r="Q57" s="72"/>
      <c r="R57" s="72"/>
      <c r="T57" s="281"/>
      <c r="U57" s="281"/>
      <c r="V57" s="281"/>
      <c r="W57" s="281"/>
      <c r="X57" s="281"/>
      <c r="Y57" s="281"/>
      <c r="Z57" s="281"/>
      <c r="AA57" s="281"/>
      <c r="AB57" s="281"/>
    </row>
    <row r="58" spans="1:28" ht="15.75" thickBot="1" x14ac:dyDescent="0.25">
      <c r="A58" s="46"/>
      <c r="B58" s="42"/>
      <c r="C58" s="144" t="s">
        <v>105</v>
      </c>
      <c r="D58" s="145"/>
      <c r="E58" s="145"/>
      <c r="F58" s="47"/>
      <c r="G58" s="159">
        <f t="shared" ref="G58:L58" si="31">SUM(G53:G57)</f>
        <v>11761.44</v>
      </c>
      <c r="H58" s="159">
        <f t="shared" si="31"/>
        <v>2776</v>
      </c>
      <c r="I58" s="159">
        <f t="shared" si="31"/>
        <v>8985.44</v>
      </c>
      <c r="J58" s="159">
        <f t="shared" si="31"/>
        <v>7573</v>
      </c>
      <c r="K58" s="159">
        <f t="shared" si="31"/>
        <v>0</v>
      </c>
      <c r="L58" s="159">
        <f t="shared" si="31"/>
        <v>7573</v>
      </c>
      <c r="M58" s="48">
        <f>IFERROR(L58/H58,"N/A")</f>
        <v>2.7280259365994235</v>
      </c>
      <c r="N58" s="162">
        <f>SUM(N53:N57)</f>
        <v>37945.46</v>
      </c>
      <c r="O58" s="124"/>
      <c r="P58" s="126"/>
      <c r="Q58" s="124"/>
      <c r="R58" s="126"/>
      <c r="T58" s="281"/>
      <c r="U58" s="281"/>
      <c r="V58" s="281"/>
      <c r="W58" s="281"/>
      <c r="X58" s="281"/>
      <c r="Y58" s="281"/>
      <c r="Z58" s="281"/>
      <c r="AA58" s="281"/>
      <c r="AB58" s="281"/>
    </row>
    <row r="59" spans="1:28" ht="15.75" thickBot="1" x14ac:dyDescent="0.25">
      <c r="O59" s="72"/>
      <c r="P59" s="72"/>
      <c r="Q59" s="72"/>
      <c r="R59" s="72"/>
      <c r="T59" s="281"/>
      <c r="U59" s="281"/>
      <c r="V59" s="281"/>
      <c r="W59" s="281"/>
      <c r="X59" s="281"/>
      <c r="Y59" s="281"/>
      <c r="Z59" s="281"/>
      <c r="AA59" s="281"/>
      <c r="AB59" s="281"/>
    </row>
    <row r="60" spans="1:28" s="53" customFormat="1" x14ac:dyDescent="0.2">
      <c r="A60" s="16" t="s">
        <v>106</v>
      </c>
      <c r="B60" s="11"/>
      <c r="C60" s="11"/>
      <c r="D60" s="11"/>
      <c r="E60" s="11"/>
      <c r="F60" s="10"/>
      <c r="G60" s="9"/>
      <c r="H60" s="9"/>
      <c r="I60" s="9"/>
      <c r="J60" s="9"/>
      <c r="K60" s="9"/>
      <c r="L60" s="9"/>
      <c r="M60" s="8"/>
      <c r="N60" s="7"/>
      <c r="O60" s="72"/>
      <c r="P60" s="72"/>
      <c r="Q60" s="72"/>
      <c r="R60" s="72"/>
      <c r="T60" s="281"/>
      <c r="U60" s="281"/>
      <c r="V60" s="281"/>
      <c r="W60" s="281"/>
      <c r="X60" s="281"/>
      <c r="Y60" s="281"/>
      <c r="Z60" s="281"/>
      <c r="AA60" s="281"/>
      <c r="AB60" s="281"/>
    </row>
    <row r="61" spans="1:28" x14ac:dyDescent="0.2">
      <c r="A61" s="49" t="s">
        <v>107</v>
      </c>
      <c r="B61" s="57"/>
      <c r="C61" s="57"/>
      <c r="D61" s="57"/>
      <c r="E61" s="57"/>
      <c r="F61" s="51"/>
      <c r="G61" s="15"/>
      <c r="H61" s="15"/>
      <c r="I61" s="15"/>
      <c r="J61" s="15"/>
      <c r="K61" s="15"/>
      <c r="L61" s="15"/>
      <c r="M61" s="14"/>
      <c r="N61" s="13"/>
      <c r="O61" s="73"/>
      <c r="P61" s="73"/>
      <c r="Q61" s="73"/>
      <c r="R61" s="73"/>
      <c r="T61" s="281"/>
      <c r="U61" s="281"/>
      <c r="V61" s="281"/>
      <c r="W61" s="281"/>
      <c r="X61" s="281"/>
      <c r="Y61" s="281"/>
      <c r="Z61" s="281"/>
      <c r="AA61" s="281"/>
      <c r="AB61" s="281"/>
    </row>
    <row r="62" spans="1:28" ht="33.75" x14ac:dyDescent="0.2">
      <c r="A62" s="43" t="s">
        <v>90</v>
      </c>
      <c r="B62" s="44"/>
      <c r="C62" s="45"/>
      <c r="D62" s="45"/>
      <c r="E62" s="45"/>
      <c r="F62" s="45"/>
      <c r="G62" s="32" t="s">
        <v>39</v>
      </c>
      <c r="H62" s="32" t="s">
        <v>40</v>
      </c>
      <c r="I62" s="32" t="s">
        <v>41</v>
      </c>
      <c r="J62" s="32" t="s">
        <v>42</v>
      </c>
      <c r="K62" s="32" t="s">
        <v>43</v>
      </c>
      <c r="L62" s="32" t="s">
        <v>44</v>
      </c>
      <c r="M62" s="40" t="s">
        <v>45</v>
      </c>
      <c r="N62" s="41" t="s">
        <v>46</v>
      </c>
      <c r="O62" s="71" t="s">
        <v>73</v>
      </c>
      <c r="P62" s="71" t="s">
        <v>74</v>
      </c>
      <c r="Q62" s="71" t="s">
        <v>75</v>
      </c>
      <c r="R62" s="71" t="s">
        <v>76</v>
      </c>
      <c r="T62" s="281"/>
      <c r="U62" s="281"/>
      <c r="V62" s="281"/>
      <c r="W62" s="281"/>
      <c r="X62" s="281"/>
      <c r="Y62" s="281"/>
      <c r="Z62" s="281"/>
      <c r="AA62" s="281"/>
      <c r="AB62" s="281"/>
    </row>
    <row r="63" spans="1:28" x14ac:dyDescent="0.2">
      <c r="A63" s="257" t="s">
        <v>108</v>
      </c>
      <c r="B63" s="258"/>
      <c r="C63" s="259"/>
      <c r="D63" s="260"/>
      <c r="E63" s="261"/>
      <c r="F63" s="30"/>
      <c r="G63" s="244">
        <f>0.1129*105000</f>
        <v>11854.5</v>
      </c>
      <c r="H63" s="244">
        <v>5875</v>
      </c>
      <c r="I63" s="153">
        <f t="shared" ref="I63:I80" si="32">G63-H63</f>
        <v>5979.5</v>
      </c>
      <c r="J63" s="148">
        <v>3191</v>
      </c>
      <c r="K63" s="148">
        <v>0</v>
      </c>
      <c r="L63" s="153">
        <f>SUM(J63:K63)</f>
        <v>3191</v>
      </c>
      <c r="M63" s="31">
        <f>IFERROR(L63/H63,"N/A")</f>
        <v>0.54314893617021276</v>
      </c>
      <c r="N63" s="151">
        <f t="shared" ref="N63:N78" si="33">AB63</f>
        <v>5452.53</v>
      </c>
      <c r="O63" s="72"/>
      <c r="P63" s="72"/>
      <c r="Q63" s="72"/>
      <c r="R63" s="72"/>
      <c r="T63" s="281"/>
      <c r="U63" s="281"/>
      <c r="V63" s="281">
        <f>1096.21</f>
        <v>1096.21</v>
      </c>
      <c r="W63" s="281"/>
      <c r="X63" s="281">
        <f>1165.32</f>
        <v>1165.32</v>
      </c>
      <c r="Y63" s="281">
        <f t="shared" ref="Y63:Y80" si="34">L63</f>
        <v>3191</v>
      </c>
      <c r="Z63" s="281"/>
      <c r="AA63" s="281"/>
      <c r="AB63" s="281">
        <f t="shared" ref="AB63:AB79" si="35">SUM(T63:AA63)</f>
        <v>5452.53</v>
      </c>
    </row>
    <row r="64" spans="1:28" x14ac:dyDescent="0.2">
      <c r="A64" s="262" t="s">
        <v>110</v>
      </c>
      <c r="B64" s="258"/>
      <c r="C64" s="259"/>
      <c r="D64" s="260"/>
      <c r="E64" s="261"/>
      <c r="F64" s="30"/>
      <c r="G64" s="244">
        <f>0.1129*57200</f>
        <v>6457.88</v>
      </c>
      <c r="H64" s="244">
        <v>1835</v>
      </c>
      <c r="I64" s="158">
        <f t="shared" si="32"/>
        <v>4622.88</v>
      </c>
      <c r="J64" s="148">
        <v>1312</v>
      </c>
      <c r="K64" s="157">
        <v>0</v>
      </c>
      <c r="L64" s="158">
        <f>SUM(J64:K64)</f>
        <v>1312</v>
      </c>
      <c r="M64" s="29">
        <f>IFERROR(L64/H64,"N/A")</f>
        <v>0.71498637602179838</v>
      </c>
      <c r="N64" s="151">
        <f t="shared" si="33"/>
        <v>2942.24</v>
      </c>
      <c r="O64" s="72"/>
      <c r="P64" s="72"/>
      <c r="Q64" s="72"/>
      <c r="R64" s="72"/>
      <c r="T64" s="281"/>
      <c r="U64" s="281"/>
      <c r="V64" s="281">
        <f>996.33</f>
        <v>996.33</v>
      </c>
      <c r="W64" s="281"/>
      <c r="X64" s="281">
        <f>633.91</f>
        <v>633.91</v>
      </c>
      <c r="Y64" s="281">
        <f t="shared" si="34"/>
        <v>1312</v>
      </c>
      <c r="Z64" s="281"/>
      <c r="AA64" s="281"/>
      <c r="AB64" s="281">
        <f t="shared" si="35"/>
        <v>2942.24</v>
      </c>
    </row>
    <row r="65" spans="1:28" x14ac:dyDescent="0.2">
      <c r="A65" s="262" t="s">
        <v>111</v>
      </c>
      <c r="B65" s="258"/>
      <c r="C65" s="259"/>
      <c r="D65" s="260"/>
      <c r="E65" s="261"/>
      <c r="F65" s="30"/>
      <c r="G65" s="253">
        <f>ROUND(1950*0.1926,0)*12</f>
        <v>4512</v>
      </c>
      <c r="H65" s="244">
        <v>1510</v>
      </c>
      <c r="I65" s="153">
        <f t="shared" si="32"/>
        <v>3002</v>
      </c>
      <c r="J65" s="148">
        <f>756.56+21.51+55.35</f>
        <v>833.42</v>
      </c>
      <c r="K65" s="148">
        <v>0</v>
      </c>
      <c r="L65" s="153">
        <f t="shared" ref="L65:L75" si="36">SUM(J65:K65)</f>
        <v>833.42</v>
      </c>
      <c r="M65" s="31">
        <f t="shared" ref="M65:M80" si="37">IFERROR(L65/H65,"N/A")</f>
        <v>0.55193377483443706</v>
      </c>
      <c r="N65" s="151">
        <f t="shared" si="33"/>
        <v>1836.1999999999998</v>
      </c>
      <c r="O65" s="72"/>
      <c r="P65" s="72"/>
      <c r="Q65" s="72"/>
      <c r="R65" s="72"/>
      <c r="T65" s="281"/>
      <c r="U65" s="281"/>
      <c r="V65" s="281">
        <f>546.1+13.47+28.86</f>
        <v>588.43000000000006</v>
      </c>
      <c r="W65" s="281"/>
      <c r="X65" s="281">
        <f>387.78+26.57</f>
        <v>414.34999999999997</v>
      </c>
      <c r="Y65" s="281">
        <f t="shared" si="34"/>
        <v>833.42</v>
      </c>
      <c r="Z65" s="281"/>
      <c r="AA65" s="281"/>
      <c r="AB65" s="281">
        <f t="shared" si="35"/>
        <v>1836.1999999999998</v>
      </c>
    </row>
    <row r="66" spans="1:28" x14ac:dyDescent="0.2">
      <c r="A66" s="262" t="s">
        <v>112</v>
      </c>
      <c r="B66" s="258"/>
      <c r="C66" s="259"/>
      <c r="D66" s="260"/>
      <c r="E66" s="261"/>
      <c r="F66" s="30"/>
      <c r="G66" s="253">
        <f>2000*0.625</f>
        <v>1250</v>
      </c>
      <c r="H66" s="244">
        <v>650</v>
      </c>
      <c r="I66" s="153">
        <f t="shared" si="32"/>
        <v>600</v>
      </c>
      <c r="J66" s="278">
        <v>259</v>
      </c>
      <c r="K66" s="148">
        <v>0</v>
      </c>
      <c r="L66" s="153">
        <f t="shared" si="36"/>
        <v>259</v>
      </c>
      <c r="M66" s="31">
        <f t="shared" si="37"/>
        <v>0.39846153846153848</v>
      </c>
      <c r="N66" s="151">
        <f t="shared" si="33"/>
        <v>1722.97</v>
      </c>
      <c r="O66" s="72"/>
      <c r="P66" s="72"/>
      <c r="Q66" s="72"/>
      <c r="R66" s="72"/>
      <c r="T66" s="281">
        <v>10</v>
      </c>
      <c r="U66" s="281"/>
      <c r="V66" s="281">
        <f>893.49</f>
        <v>893.49</v>
      </c>
      <c r="W66" s="281"/>
      <c r="X66" s="281">
        <f>560.48</f>
        <v>560.48</v>
      </c>
      <c r="Y66" s="281">
        <f t="shared" si="34"/>
        <v>259</v>
      </c>
      <c r="Z66" s="281"/>
      <c r="AA66" s="281"/>
      <c r="AB66" s="281">
        <f t="shared" si="35"/>
        <v>1722.97</v>
      </c>
    </row>
    <row r="67" spans="1:28" x14ac:dyDescent="0.2">
      <c r="A67" s="262" t="s">
        <v>114</v>
      </c>
      <c r="B67" s="258"/>
      <c r="C67" s="259"/>
      <c r="D67" s="260"/>
      <c r="E67" s="261"/>
      <c r="F67" s="30"/>
      <c r="G67" s="253">
        <f>(50*7)*12</f>
        <v>4200</v>
      </c>
      <c r="H67" s="244">
        <v>1600</v>
      </c>
      <c r="I67" s="153">
        <f t="shared" si="32"/>
        <v>2600</v>
      </c>
      <c r="J67" s="148">
        <v>1500</v>
      </c>
      <c r="K67" s="148">
        <v>0</v>
      </c>
      <c r="L67" s="153">
        <f t="shared" si="36"/>
        <v>1500</v>
      </c>
      <c r="M67" s="31">
        <f t="shared" si="37"/>
        <v>0.9375</v>
      </c>
      <c r="N67" s="151">
        <f t="shared" si="33"/>
        <v>3098</v>
      </c>
      <c r="O67" s="72"/>
      <c r="P67" s="72"/>
      <c r="Q67" s="72"/>
      <c r="R67" s="72"/>
      <c r="T67" s="281"/>
      <c r="U67" s="281"/>
      <c r="V67" s="281">
        <f>866.4</f>
        <v>866.4</v>
      </c>
      <c r="W67" s="281"/>
      <c r="X67" s="281">
        <f>731.6</f>
        <v>731.6</v>
      </c>
      <c r="Y67" s="281">
        <f t="shared" si="34"/>
        <v>1500</v>
      </c>
      <c r="Z67" s="281"/>
      <c r="AA67" s="281"/>
      <c r="AB67" s="281">
        <f t="shared" si="35"/>
        <v>3098</v>
      </c>
    </row>
    <row r="68" spans="1:28" x14ac:dyDescent="0.2">
      <c r="A68" s="262" t="s">
        <v>116</v>
      </c>
      <c r="B68" s="258"/>
      <c r="C68" s="259"/>
      <c r="D68" s="260"/>
      <c r="E68" s="261"/>
      <c r="F68" s="30"/>
      <c r="G68" s="253">
        <f>4500*12</f>
        <v>54000</v>
      </c>
      <c r="H68" s="253">
        <v>0</v>
      </c>
      <c r="I68" s="164">
        <f t="shared" si="32"/>
        <v>54000</v>
      </c>
      <c r="J68" s="163">
        <v>0</v>
      </c>
      <c r="K68" s="163">
        <v>0</v>
      </c>
      <c r="L68" s="158">
        <f t="shared" si="36"/>
        <v>0</v>
      </c>
      <c r="M68" s="29" t="str">
        <f t="shared" si="37"/>
        <v>N/A</v>
      </c>
      <c r="N68" s="151">
        <f t="shared" si="33"/>
        <v>29587.960000000003</v>
      </c>
      <c r="O68" s="72"/>
      <c r="P68" s="72"/>
      <c r="Q68" s="72"/>
      <c r="R68" s="72"/>
      <c r="T68" s="281"/>
      <c r="U68" s="281"/>
      <c r="V68" s="281">
        <f>9760+300+120+2115</f>
        <v>12295</v>
      </c>
      <c r="W68" s="281">
        <f>2775+4292.25+4043.51</f>
        <v>11110.76</v>
      </c>
      <c r="X68" s="281">
        <f>320+2919.63+514.25+100+15+181.74+1261.83+869.75</f>
        <v>6182.2</v>
      </c>
      <c r="Y68" s="281">
        <f t="shared" si="34"/>
        <v>0</v>
      </c>
      <c r="Z68" s="281"/>
      <c r="AA68" s="281"/>
      <c r="AB68" s="281">
        <f t="shared" si="35"/>
        <v>29587.960000000003</v>
      </c>
    </row>
    <row r="69" spans="1:28" x14ac:dyDescent="0.2">
      <c r="A69" s="262" t="s">
        <v>117</v>
      </c>
      <c r="B69" s="258"/>
      <c r="C69" s="259"/>
      <c r="D69" s="260"/>
      <c r="E69" s="261"/>
      <c r="F69" s="30"/>
      <c r="G69" s="253">
        <v>360</v>
      </c>
      <c r="H69" s="253">
        <v>0</v>
      </c>
      <c r="I69" s="164">
        <f t="shared" si="32"/>
        <v>360</v>
      </c>
      <c r="J69" s="163">
        <v>580</v>
      </c>
      <c r="K69" s="163">
        <v>0</v>
      </c>
      <c r="L69" s="158">
        <f t="shared" si="36"/>
        <v>580</v>
      </c>
      <c r="M69" s="29" t="str">
        <f t="shared" si="37"/>
        <v>N/A</v>
      </c>
      <c r="N69" s="151">
        <f t="shared" si="33"/>
        <v>793.8</v>
      </c>
      <c r="O69" s="72"/>
      <c r="P69" s="72"/>
      <c r="Q69" s="72"/>
      <c r="R69" s="72"/>
      <c r="T69" s="281"/>
      <c r="U69" s="281"/>
      <c r="V69" s="281">
        <f>157.9</f>
        <v>157.9</v>
      </c>
      <c r="W69" s="281"/>
      <c r="X69" s="281">
        <f>55.9</f>
        <v>55.9</v>
      </c>
      <c r="Y69" s="281">
        <f t="shared" si="34"/>
        <v>580</v>
      </c>
      <c r="Z69" s="281"/>
      <c r="AA69" s="281"/>
      <c r="AB69" s="281">
        <f t="shared" si="35"/>
        <v>793.8</v>
      </c>
    </row>
    <row r="70" spans="1:28" x14ac:dyDescent="0.2">
      <c r="A70" s="262" t="s">
        <v>118</v>
      </c>
      <c r="B70" s="258"/>
      <c r="C70" s="259"/>
      <c r="D70" s="260"/>
      <c r="E70" s="261"/>
      <c r="F70" s="30"/>
      <c r="G70" s="253">
        <v>240</v>
      </c>
      <c r="H70" s="253">
        <v>0</v>
      </c>
      <c r="I70" s="164">
        <f t="shared" si="32"/>
        <v>240</v>
      </c>
      <c r="J70" s="163">
        <v>526</v>
      </c>
      <c r="K70" s="163">
        <v>0</v>
      </c>
      <c r="L70" s="158">
        <f t="shared" si="36"/>
        <v>526</v>
      </c>
      <c r="M70" s="29" t="str">
        <f t="shared" si="37"/>
        <v>N/A</v>
      </c>
      <c r="N70" s="151">
        <f t="shared" si="33"/>
        <v>537.27</v>
      </c>
      <c r="O70" s="72"/>
      <c r="P70" s="72"/>
      <c r="Q70" s="72"/>
      <c r="R70" s="72"/>
      <c r="T70" s="281">
        <v>11.27</v>
      </c>
      <c r="U70" s="281"/>
      <c r="V70" s="281">
        <f>0</f>
        <v>0</v>
      </c>
      <c r="W70" s="281"/>
      <c r="X70" s="281">
        <v>0</v>
      </c>
      <c r="Y70" s="281">
        <f t="shared" si="34"/>
        <v>526</v>
      </c>
      <c r="Z70" s="281"/>
      <c r="AA70" s="281"/>
      <c r="AB70" s="281">
        <f t="shared" si="35"/>
        <v>537.27</v>
      </c>
    </row>
    <row r="71" spans="1:28" x14ac:dyDescent="0.2">
      <c r="A71" s="262" t="s">
        <v>119</v>
      </c>
      <c r="B71" s="258"/>
      <c r="C71" s="259"/>
      <c r="D71" s="260"/>
      <c r="E71" s="261"/>
      <c r="F71" s="30"/>
      <c r="G71" s="253">
        <f>(53.39*7)*12</f>
        <v>4484.76</v>
      </c>
      <c r="H71" s="253">
        <f>2100-130</f>
        <v>1970</v>
      </c>
      <c r="I71" s="164">
        <f t="shared" si="32"/>
        <v>2514.7600000000002</v>
      </c>
      <c r="J71" s="163">
        <v>1460</v>
      </c>
      <c r="K71" s="163">
        <v>0</v>
      </c>
      <c r="L71" s="158">
        <f t="shared" si="36"/>
        <v>1460</v>
      </c>
      <c r="M71" s="29">
        <f t="shared" si="37"/>
        <v>0.74111675126903553</v>
      </c>
      <c r="N71" s="151">
        <f t="shared" si="33"/>
        <v>3510.7499999999995</v>
      </c>
      <c r="O71" s="72"/>
      <c r="P71" s="72"/>
      <c r="Q71" s="72"/>
      <c r="R71" s="72"/>
      <c r="T71" s="281"/>
      <c r="U71" s="281"/>
      <c r="V71" s="281">
        <f>1363.55</f>
        <v>1363.55</v>
      </c>
      <c r="W71" s="281"/>
      <c r="X71" s="281">
        <f>473.23</f>
        <v>473.23</v>
      </c>
      <c r="Y71" s="281">
        <f t="shared" si="34"/>
        <v>1460</v>
      </c>
      <c r="Z71" s="281"/>
      <c r="AA71" s="281">
        <v>213.97</v>
      </c>
      <c r="AB71" s="281">
        <f t="shared" si="35"/>
        <v>3510.7499999999995</v>
      </c>
    </row>
    <row r="72" spans="1:28" x14ac:dyDescent="0.2">
      <c r="A72" s="262" t="s">
        <v>120</v>
      </c>
      <c r="B72" s="258"/>
      <c r="C72" s="259"/>
      <c r="D72" s="260"/>
      <c r="E72" s="261"/>
      <c r="F72" s="30"/>
      <c r="G72" s="253">
        <v>300</v>
      </c>
      <c r="H72" s="253">
        <v>300</v>
      </c>
      <c r="I72" s="164">
        <f t="shared" si="32"/>
        <v>0</v>
      </c>
      <c r="J72" s="163">
        <v>285</v>
      </c>
      <c r="K72" s="163">
        <v>0</v>
      </c>
      <c r="L72" s="158">
        <f t="shared" si="36"/>
        <v>285</v>
      </c>
      <c r="M72" s="29">
        <f t="shared" si="37"/>
        <v>0.95</v>
      </c>
      <c r="N72" s="151">
        <f t="shared" si="33"/>
        <v>646.41</v>
      </c>
      <c r="O72" s="72"/>
      <c r="P72" s="72"/>
      <c r="Q72" s="72"/>
      <c r="R72" s="72"/>
      <c r="T72" s="281"/>
      <c r="U72" s="281">
        <v>17.61</v>
      </c>
      <c r="V72" s="281">
        <f>206.6</f>
        <v>206.6</v>
      </c>
      <c r="W72" s="281"/>
      <c r="X72" s="281">
        <f>137.2</f>
        <v>137.19999999999999</v>
      </c>
      <c r="Y72" s="281">
        <f t="shared" si="34"/>
        <v>285</v>
      </c>
      <c r="Z72" s="281"/>
      <c r="AA72" s="281"/>
      <c r="AB72" s="281">
        <f t="shared" si="35"/>
        <v>646.41</v>
      </c>
    </row>
    <row r="73" spans="1:28" x14ac:dyDescent="0.2">
      <c r="A73" s="262" t="s">
        <v>121</v>
      </c>
      <c r="B73" s="258"/>
      <c r="C73" s="259"/>
      <c r="D73" s="260"/>
      <c r="E73" s="261"/>
      <c r="F73" s="30"/>
      <c r="G73" s="253">
        <v>300</v>
      </c>
      <c r="H73" s="253">
        <v>300</v>
      </c>
      <c r="I73" s="164">
        <f t="shared" si="32"/>
        <v>0</v>
      </c>
      <c r="J73" s="163">
        <v>0</v>
      </c>
      <c r="K73" s="163">
        <v>0</v>
      </c>
      <c r="L73" s="158">
        <f t="shared" si="36"/>
        <v>0</v>
      </c>
      <c r="M73" s="29">
        <f t="shared" si="37"/>
        <v>0</v>
      </c>
      <c r="N73" s="151">
        <f t="shared" si="33"/>
        <v>3125.81</v>
      </c>
      <c r="O73" s="72"/>
      <c r="P73" s="72"/>
      <c r="Q73" s="72"/>
      <c r="R73" s="72"/>
      <c r="T73" s="281"/>
      <c r="U73" s="281"/>
      <c r="V73" s="281">
        <f>3125.81</f>
        <v>3125.81</v>
      </c>
      <c r="W73" s="281"/>
      <c r="X73" s="281">
        <f>0</f>
        <v>0</v>
      </c>
      <c r="Y73" s="281">
        <f t="shared" si="34"/>
        <v>0</v>
      </c>
      <c r="Z73" s="281"/>
      <c r="AA73" s="281"/>
      <c r="AB73" s="281">
        <f t="shared" si="35"/>
        <v>3125.81</v>
      </c>
    </row>
    <row r="74" spans="1:28" x14ac:dyDescent="0.2">
      <c r="A74" s="262" t="s">
        <v>123</v>
      </c>
      <c r="B74" s="258"/>
      <c r="C74" s="259"/>
      <c r="D74" s="260"/>
      <c r="E74" s="261"/>
      <c r="F74" s="30"/>
      <c r="G74" s="253">
        <v>1200</v>
      </c>
      <c r="H74" s="244">
        <v>300</v>
      </c>
      <c r="I74" s="153">
        <f t="shared" si="32"/>
        <v>900</v>
      </c>
      <c r="J74" s="148">
        <v>0</v>
      </c>
      <c r="K74" s="148">
        <v>0</v>
      </c>
      <c r="L74" s="153">
        <f t="shared" si="36"/>
        <v>0</v>
      </c>
      <c r="M74" s="31">
        <f t="shared" si="37"/>
        <v>0</v>
      </c>
      <c r="N74" s="151">
        <f t="shared" si="33"/>
        <v>186.03</v>
      </c>
      <c r="O74" s="72"/>
      <c r="P74" s="72"/>
      <c r="Q74" s="72"/>
      <c r="R74" s="72"/>
      <c r="T74" s="281"/>
      <c r="U74" s="281"/>
      <c r="V74" s="281">
        <f>0</f>
        <v>0</v>
      </c>
      <c r="W74" s="281"/>
      <c r="X74" s="281">
        <f>0</f>
        <v>0</v>
      </c>
      <c r="Y74" s="281">
        <f t="shared" si="34"/>
        <v>0</v>
      </c>
      <c r="Z74" s="281"/>
      <c r="AA74" s="281">
        <f>186.03</f>
        <v>186.03</v>
      </c>
      <c r="AB74" s="281">
        <f t="shared" si="35"/>
        <v>186.03</v>
      </c>
    </row>
    <row r="75" spans="1:28" x14ac:dyDescent="0.2">
      <c r="A75" s="262" t="s">
        <v>124</v>
      </c>
      <c r="B75" s="258"/>
      <c r="C75" s="259"/>
      <c r="D75" s="260"/>
      <c r="E75" s="261"/>
      <c r="F75" s="30"/>
      <c r="G75" s="268">
        <v>2100</v>
      </c>
      <c r="H75" s="244">
        <v>1000</v>
      </c>
      <c r="I75" s="158">
        <f t="shared" si="32"/>
        <v>1100</v>
      </c>
      <c r="J75" s="148">
        <v>800</v>
      </c>
      <c r="K75" s="157">
        <v>0</v>
      </c>
      <c r="L75" s="158">
        <f t="shared" si="36"/>
        <v>800</v>
      </c>
      <c r="M75" s="29">
        <f t="shared" si="37"/>
        <v>0.8</v>
      </c>
      <c r="N75" s="151">
        <f t="shared" si="33"/>
        <v>1004.5</v>
      </c>
      <c r="O75" s="72"/>
      <c r="P75" s="72"/>
      <c r="Q75" s="72"/>
      <c r="R75" s="72"/>
      <c r="T75" s="281"/>
      <c r="U75" s="281"/>
      <c r="V75" s="281">
        <f>195.1</f>
        <v>195.1</v>
      </c>
      <c r="W75" s="281"/>
      <c r="X75" s="281">
        <f>9.4</f>
        <v>9.4</v>
      </c>
      <c r="Y75" s="281">
        <f t="shared" si="34"/>
        <v>800</v>
      </c>
      <c r="Z75" s="281"/>
      <c r="AA75" s="281"/>
      <c r="AB75" s="281">
        <f t="shared" si="35"/>
        <v>1004.5</v>
      </c>
    </row>
    <row r="76" spans="1:28" x14ac:dyDescent="0.2">
      <c r="A76" s="264" t="s">
        <v>125</v>
      </c>
      <c r="B76" s="258"/>
      <c r="C76" s="259"/>
      <c r="D76" s="260"/>
      <c r="E76" s="261"/>
      <c r="F76" s="30"/>
      <c r="G76" s="253">
        <v>575</v>
      </c>
      <c r="H76" s="244">
        <v>550</v>
      </c>
      <c r="I76" s="153">
        <f t="shared" si="32"/>
        <v>25</v>
      </c>
      <c r="J76" s="148">
        <v>0</v>
      </c>
      <c r="K76" s="148">
        <v>0</v>
      </c>
      <c r="L76" s="153">
        <f t="shared" ref="L76:L80" si="38">SUM(J76:K76)</f>
        <v>0</v>
      </c>
      <c r="M76" s="31">
        <f t="shared" si="37"/>
        <v>0</v>
      </c>
      <c r="N76" s="151">
        <f t="shared" si="33"/>
        <v>0</v>
      </c>
      <c r="O76" s="72"/>
      <c r="P76" s="72"/>
      <c r="Q76" s="72"/>
      <c r="R76" s="72"/>
      <c r="T76" s="281"/>
      <c r="U76" s="281"/>
      <c r="V76" s="281"/>
      <c r="W76" s="281"/>
      <c r="X76" s="281"/>
      <c r="Y76" s="281">
        <f t="shared" si="34"/>
        <v>0</v>
      </c>
      <c r="Z76" s="281"/>
      <c r="AA76" s="281"/>
      <c r="AB76" s="281">
        <f t="shared" si="35"/>
        <v>0</v>
      </c>
    </row>
    <row r="77" spans="1:28" x14ac:dyDescent="0.2">
      <c r="A77" s="264" t="s">
        <v>126</v>
      </c>
      <c r="B77" s="258"/>
      <c r="C77" s="259"/>
      <c r="D77" s="260"/>
      <c r="E77" s="261"/>
      <c r="F77" s="30"/>
      <c r="G77" s="253">
        <v>4000</v>
      </c>
      <c r="H77" s="244">
        <v>4000</v>
      </c>
      <c r="I77" s="153">
        <f t="shared" si="32"/>
        <v>0</v>
      </c>
      <c r="J77" s="148">
        <v>788</v>
      </c>
      <c r="K77" s="148">
        <v>0</v>
      </c>
      <c r="L77" s="153">
        <f t="shared" si="38"/>
        <v>788</v>
      </c>
      <c r="M77" s="31">
        <f t="shared" si="37"/>
        <v>0.19700000000000001</v>
      </c>
      <c r="N77" s="151">
        <f t="shared" si="33"/>
        <v>1142.99</v>
      </c>
      <c r="O77" s="72"/>
      <c r="P77" s="72"/>
      <c r="Q77" s="72"/>
      <c r="R77" s="72"/>
      <c r="T77" s="281">
        <v>354.99</v>
      </c>
      <c r="U77" s="281"/>
      <c r="V77" s="281"/>
      <c r="W77" s="281"/>
      <c r="X77" s="281"/>
      <c r="Y77" s="281">
        <f t="shared" si="34"/>
        <v>788</v>
      </c>
      <c r="Z77" s="281"/>
      <c r="AA77" s="281"/>
      <c r="AB77" s="281">
        <f t="shared" si="35"/>
        <v>1142.99</v>
      </c>
    </row>
    <row r="78" spans="1:28" x14ac:dyDescent="0.2">
      <c r="A78" s="262" t="s">
        <v>127</v>
      </c>
      <c r="B78" s="258"/>
      <c r="C78" s="265"/>
      <c r="D78" s="266"/>
      <c r="E78" s="267"/>
      <c r="F78" s="30"/>
      <c r="G78" s="253">
        <v>1500</v>
      </c>
      <c r="H78" s="244">
        <v>600</v>
      </c>
      <c r="I78" s="153">
        <f t="shared" si="32"/>
        <v>900</v>
      </c>
      <c r="J78" s="148">
        <f>819.34</f>
        <v>819.34</v>
      </c>
      <c r="K78" s="148">
        <v>0</v>
      </c>
      <c r="L78" s="153">
        <f t="shared" ref="L78:L79" si="39">SUM(J78:K78)</f>
        <v>819.34</v>
      </c>
      <c r="M78" s="31">
        <f t="shared" si="37"/>
        <v>1.3655666666666668</v>
      </c>
      <c r="N78" s="151">
        <f t="shared" si="33"/>
        <v>1417.01</v>
      </c>
      <c r="O78" s="72"/>
      <c r="P78" s="72"/>
      <c r="Q78" s="72"/>
      <c r="R78" s="72"/>
      <c r="T78" s="281"/>
      <c r="U78" s="281"/>
      <c r="V78" s="281">
        <f>333.03</f>
        <v>333.03</v>
      </c>
      <c r="W78" s="281"/>
      <c r="X78" s="281">
        <f>264.64</f>
        <v>264.64</v>
      </c>
      <c r="Y78" s="281">
        <f t="shared" si="34"/>
        <v>819.34</v>
      </c>
      <c r="Z78" s="281"/>
      <c r="AA78" s="281"/>
      <c r="AB78" s="281">
        <f t="shared" si="35"/>
        <v>1417.01</v>
      </c>
    </row>
    <row r="79" spans="1:28" x14ac:dyDescent="0.2">
      <c r="A79" s="264"/>
      <c r="B79" s="258"/>
      <c r="C79" s="265"/>
      <c r="D79" s="266"/>
      <c r="E79" s="267"/>
      <c r="F79" s="30"/>
      <c r="G79" s="253">
        <v>0</v>
      </c>
      <c r="H79" s="244">
        <v>0</v>
      </c>
      <c r="I79" s="153">
        <f t="shared" si="32"/>
        <v>0</v>
      </c>
      <c r="J79" s="148">
        <v>0</v>
      </c>
      <c r="K79" s="148">
        <v>0</v>
      </c>
      <c r="L79" s="153">
        <f t="shared" si="39"/>
        <v>0</v>
      </c>
      <c r="M79" s="31" t="str">
        <f t="shared" si="37"/>
        <v>N/A</v>
      </c>
      <c r="N79" s="160">
        <v>0</v>
      </c>
      <c r="O79" s="72"/>
      <c r="P79" s="72"/>
      <c r="Q79" s="72"/>
      <c r="R79" s="72"/>
      <c r="T79" s="281"/>
      <c r="U79" s="281"/>
      <c r="V79" s="281"/>
      <c r="W79" s="281"/>
      <c r="X79" s="281"/>
      <c r="Y79" s="281">
        <f t="shared" si="34"/>
        <v>0</v>
      </c>
      <c r="Z79" s="281"/>
      <c r="AA79" s="281"/>
      <c r="AB79" s="281">
        <f t="shared" si="35"/>
        <v>0</v>
      </c>
    </row>
    <row r="80" spans="1:28" x14ac:dyDescent="0.2">
      <c r="A80" s="262"/>
      <c r="B80" s="258"/>
      <c r="C80" s="265"/>
      <c r="D80" s="266"/>
      <c r="E80" s="267"/>
      <c r="F80" s="30"/>
      <c r="G80" s="253">
        <v>0</v>
      </c>
      <c r="H80" s="244">
        <v>0</v>
      </c>
      <c r="I80" s="153">
        <f t="shared" si="32"/>
        <v>0</v>
      </c>
      <c r="J80" s="148">
        <v>0</v>
      </c>
      <c r="K80" s="148">
        <v>0</v>
      </c>
      <c r="L80" s="153">
        <f t="shared" si="38"/>
        <v>0</v>
      </c>
      <c r="M80" s="31" t="str">
        <f t="shared" si="37"/>
        <v>N/A</v>
      </c>
      <c r="N80" s="160">
        <v>0</v>
      </c>
      <c r="O80" s="72"/>
      <c r="P80" s="72"/>
      <c r="Q80" s="72"/>
      <c r="R80" s="72"/>
      <c r="T80" s="281"/>
      <c r="U80" s="281"/>
      <c r="V80" s="281"/>
      <c r="W80" s="281"/>
      <c r="X80" s="281"/>
      <c r="Y80" s="281">
        <f t="shared" si="34"/>
        <v>0</v>
      </c>
      <c r="Z80" s="281"/>
      <c r="AA80" s="281"/>
      <c r="AB80" s="281"/>
    </row>
    <row r="81" spans="1:28" ht="15.75" thickBot="1" x14ac:dyDescent="0.25">
      <c r="A81" s="46"/>
      <c r="B81" s="42"/>
      <c r="C81" s="144" t="s">
        <v>128</v>
      </c>
      <c r="D81" s="145"/>
      <c r="E81" s="145"/>
      <c r="F81" s="47"/>
      <c r="G81" s="159">
        <f t="shared" ref="G81:L81" si="40">SUM(G63:G80)</f>
        <v>97334.14</v>
      </c>
      <c r="H81" s="159">
        <f t="shared" si="40"/>
        <v>20490</v>
      </c>
      <c r="I81" s="159">
        <f t="shared" si="40"/>
        <v>76844.14</v>
      </c>
      <c r="J81" s="159">
        <f t="shared" si="40"/>
        <v>12353.76</v>
      </c>
      <c r="K81" s="159">
        <f t="shared" si="40"/>
        <v>0</v>
      </c>
      <c r="L81" s="159">
        <f t="shared" si="40"/>
        <v>12353.76</v>
      </c>
      <c r="M81" s="48">
        <f>IFERROR(L81/H81,"N/A")</f>
        <v>0.6029165446559297</v>
      </c>
      <c r="N81" s="162">
        <f>SUM(N63:N80)</f>
        <v>57004.47</v>
      </c>
      <c r="O81" s="124"/>
      <c r="P81" s="126"/>
      <c r="Q81" s="124"/>
      <c r="R81" s="126"/>
      <c r="T81" s="281"/>
      <c r="U81" s="281"/>
      <c r="V81" s="281"/>
      <c r="W81" s="281"/>
      <c r="X81" s="281"/>
      <c r="Y81" s="281"/>
      <c r="Z81" s="281"/>
      <c r="AA81" s="281"/>
      <c r="AB81" s="281"/>
    </row>
    <row r="82" spans="1:28" ht="15.75" thickBot="1" x14ac:dyDescent="0.25">
      <c r="O82" s="72"/>
      <c r="P82" s="72"/>
      <c r="Q82" s="72"/>
      <c r="R82" s="72"/>
      <c r="T82" s="281"/>
      <c r="U82" s="281"/>
      <c r="V82" s="281"/>
      <c r="W82" s="281"/>
      <c r="X82" s="281"/>
      <c r="Y82" s="281"/>
      <c r="Z82" s="281"/>
      <c r="AA82" s="281"/>
      <c r="AB82" s="281"/>
    </row>
    <row r="83" spans="1:28" s="53" customFormat="1" x14ac:dyDescent="0.2">
      <c r="A83" s="12" t="s">
        <v>129</v>
      </c>
      <c r="B83" s="11"/>
      <c r="C83" s="11"/>
      <c r="D83" s="11"/>
      <c r="E83" s="11"/>
      <c r="F83" s="10"/>
      <c r="G83" s="9"/>
      <c r="H83" s="9"/>
      <c r="I83" s="9"/>
      <c r="J83" s="9"/>
      <c r="K83" s="9"/>
      <c r="L83" s="9"/>
      <c r="M83" s="8"/>
      <c r="N83" s="7"/>
      <c r="O83" s="72"/>
      <c r="P83" s="72"/>
      <c r="Q83" s="72"/>
      <c r="R83" s="72"/>
      <c r="T83" s="281"/>
      <c r="U83" s="281"/>
      <c r="V83" s="281"/>
      <c r="W83" s="281"/>
      <c r="X83" s="281"/>
      <c r="Y83" s="281"/>
      <c r="Z83" s="281"/>
      <c r="AA83" s="281"/>
      <c r="AB83" s="281"/>
    </row>
    <row r="84" spans="1:28" x14ac:dyDescent="0.2">
      <c r="A84" s="49" t="s">
        <v>130</v>
      </c>
      <c r="B84" s="57"/>
      <c r="C84" s="57"/>
      <c r="D84" s="57"/>
      <c r="E84" s="57"/>
      <c r="F84" s="51"/>
      <c r="G84" s="15"/>
      <c r="H84" s="15"/>
      <c r="I84" s="15"/>
      <c r="J84" s="15"/>
      <c r="K84" s="15"/>
      <c r="L84" s="15"/>
      <c r="M84" s="14"/>
      <c r="N84" s="13"/>
      <c r="O84" s="73"/>
      <c r="P84" s="73"/>
      <c r="Q84" s="73"/>
      <c r="R84" s="73"/>
      <c r="T84" s="281"/>
      <c r="U84" s="281"/>
      <c r="V84" s="281"/>
      <c r="W84" s="281"/>
      <c r="X84" s="281"/>
      <c r="Y84" s="281"/>
      <c r="Z84" s="281"/>
      <c r="AA84" s="281"/>
      <c r="AB84" s="281"/>
    </row>
    <row r="85" spans="1:28" ht="33.75" x14ac:dyDescent="0.2">
      <c r="A85" s="43" t="s">
        <v>90</v>
      </c>
      <c r="B85" s="44"/>
      <c r="C85" s="45"/>
      <c r="D85" s="45"/>
      <c r="E85" s="45"/>
      <c r="F85" s="45"/>
      <c r="G85" s="32" t="s">
        <v>39</v>
      </c>
      <c r="H85" s="32" t="s">
        <v>40</v>
      </c>
      <c r="I85" s="32" t="s">
        <v>41</v>
      </c>
      <c r="J85" s="32" t="s">
        <v>42</v>
      </c>
      <c r="K85" s="32" t="s">
        <v>43</v>
      </c>
      <c r="L85" s="32" t="s">
        <v>44</v>
      </c>
      <c r="M85" s="40" t="s">
        <v>45</v>
      </c>
      <c r="N85" s="41" t="s">
        <v>46</v>
      </c>
      <c r="O85" s="71" t="s">
        <v>73</v>
      </c>
      <c r="P85" s="71" t="s">
        <v>74</v>
      </c>
      <c r="Q85" s="71" t="s">
        <v>75</v>
      </c>
      <c r="R85" s="71" t="s">
        <v>76</v>
      </c>
      <c r="T85" s="281"/>
      <c r="U85" s="281"/>
      <c r="V85" s="281"/>
      <c r="W85" s="281"/>
      <c r="X85" s="281"/>
      <c r="Y85" s="281"/>
      <c r="Z85" s="281"/>
      <c r="AA85" s="281"/>
      <c r="AB85" s="281"/>
    </row>
    <row r="86" spans="1:28" x14ac:dyDescent="0.2">
      <c r="A86" s="257"/>
      <c r="B86" s="258"/>
      <c r="C86" s="259"/>
      <c r="D86" s="260"/>
      <c r="E86" s="261"/>
      <c r="F86" s="30"/>
      <c r="G86" s="244">
        <v>0</v>
      </c>
      <c r="H86" s="244">
        <v>0</v>
      </c>
      <c r="I86" s="153">
        <f t="shared" ref="I86:I88" si="41">G86-H86</f>
        <v>0</v>
      </c>
      <c r="J86" s="148">
        <v>0</v>
      </c>
      <c r="K86" s="148">
        <v>0</v>
      </c>
      <c r="L86" s="153">
        <f>SUM(J86:K86)</f>
        <v>0</v>
      </c>
      <c r="M86" s="31" t="str">
        <f>IFERROR(L86/H86,"N/A")</f>
        <v>N/A</v>
      </c>
      <c r="N86" s="151">
        <f t="shared" ref="N86:N87" si="42">AB86</f>
        <v>0</v>
      </c>
      <c r="O86" s="72"/>
      <c r="P86" s="72"/>
      <c r="Q86" s="72"/>
      <c r="R86" s="72"/>
      <c r="T86" s="281"/>
      <c r="U86" s="281"/>
      <c r="V86" s="281"/>
      <c r="W86" s="281"/>
      <c r="X86" s="281"/>
      <c r="Y86" s="281"/>
      <c r="Z86" s="281"/>
      <c r="AA86" s="281"/>
      <c r="AB86" s="281">
        <f t="shared" ref="AB86:AB88" si="43">SUM(T86:AA86)</f>
        <v>0</v>
      </c>
    </row>
    <row r="87" spans="1:28" x14ac:dyDescent="0.2">
      <c r="A87" s="262"/>
      <c r="B87" s="258"/>
      <c r="C87" s="259"/>
      <c r="D87" s="260"/>
      <c r="E87" s="261"/>
      <c r="F87" s="30"/>
      <c r="G87" s="244">
        <v>0</v>
      </c>
      <c r="H87" s="244">
        <v>0</v>
      </c>
      <c r="I87" s="153">
        <f t="shared" si="41"/>
        <v>0</v>
      </c>
      <c r="J87" s="148">
        <v>0</v>
      </c>
      <c r="K87" s="148">
        <v>0</v>
      </c>
      <c r="L87" s="153">
        <f t="shared" ref="L87:L88" si="44">SUM(J87:K87)</f>
        <v>0</v>
      </c>
      <c r="M87" s="31" t="str">
        <f t="shared" ref="M87:M88" si="45">IFERROR(L87/H87,"N/A")</f>
        <v>N/A</v>
      </c>
      <c r="N87" s="151">
        <f t="shared" si="42"/>
        <v>0</v>
      </c>
      <c r="O87" s="72"/>
      <c r="P87" s="72"/>
      <c r="Q87" s="72"/>
      <c r="R87" s="72"/>
      <c r="T87" s="281"/>
      <c r="U87" s="281"/>
      <c r="V87" s="281"/>
      <c r="W87" s="281"/>
      <c r="X87" s="281"/>
      <c r="Y87" s="281"/>
      <c r="Z87" s="281"/>
      <c r="AA87" s="281"/>
      <c r="AB87" s="281">
        <f t="shared" si="43"/>
        <v>0</v>
      </c>
    </row>
    <row r="88" spans="1:28" x14ac:dyDescent="0.2">
      <c r="A88" s="262"/>
      <c r="B88" s="258"/>
      <c r="C88" s="259"/>
      <c r="D88" s="260"/>
      <c r="E88" s="261"/>
      <c r="F88" s="30"/>
      <c r="G88" s="244">
        <v>0</v>
      </c>
      <c r="H88" s="244">
        <v>0</v>
      </c>
      <c r="I88" s="153">
        <f t="shared" si="41"/>
        <v>0</v>
      </c>
      <c r="J88" s="148">
        <v>0</v>
      </c>
      <c r="K88" s="148">
        <v>0</v>
      </c>
      <c r="L88" s="153">
        <f t="shared" si="44"/>
        <v>0</v>
      </c>
      <c r="M88" s="31" t="str">
        <f t="shared" si="45"/>
        <v>N/A</v>
      </c>
      <c r="N88" s="160">
        <v>0</v>
      </c>
      <c r="O88" s="72"/>
      <c r="P88" s="72"/>
      <c r="Q88" s="72"/>
      <c r="R88" s="72"/>
      <c r="T88" s="281"/>
      <c r="U88" s="281"/>
      <c r="V88" s="281"/>
      <c r="W88" s="281"/>
      <c r="X88" s="281"/>
      <c r="Y88" s="281"/>
      <c r="Z88" s="281"/>
      <c r="AA88" s="281"/>
      <c r="AB88" s="281">
        <f t="shared" si="43"/>
        <v>0</v>
      </c>
    </row>
    <row r="89" spans="1:28" ht="15.75" thickBot="1" x14ac:dyDescent="0.25">
      <c r="A89" s="46"/>
      <c r="B89" s="42"/>
      <c r="C89" s="144" t="s">
        <v>131</v>
      </c>
      <c r="D89" s="145"/>
      <c r="E89" s="145"/>
      <c r="F89" s="47"/>
      <c r="G89" s="159">
        <f t="shared" ref="G89:L89" si="46">SUM(G86:G88)</f>
        <v>0</v>
      </c>
      <c r="H89" s="159">
        <f t="shared" si="46"/>
        <v>0</v>
      </c>
      <c r="I89" s="159">
        <f t="shared" si="46"/>
        <v>0</v>
      </c>
      <c r="J89" s="159">
        <f t="shared" si="46"/>
        <v>0</v>
      </c>
      <c r="K89" s="159">
        <f t="shared" si="46"/>
        <v>0</v>
      </c>
      <c r="L89" s="159">
        <f t="shared" si="46"/>
        <v>0</v>
      </c>
      <c r="M89" s="48" t="str">
        <f>IFERROR(L89/H89,"N/A")</f>
        <v>N/A</v>
      </c>
      <c r="N89" s="162">
        <f>SUM(N86:N88)</f>
        <v>0</v>
      </c>
      <c r="O89" s="124"/>
      <c r="P89" s="126"/>
      <c r="Q89" s="124"/>
      <c r="R89" s="126"/>
      <c r="T89" s="281"/>
      <c r="U89" s="281"/>
      <c r="V89" s="281"/>
      <c r="W89" s="281"/>
      <c r="X89" s="281"/>
      <c r="Y89" s="281"/>
      <c r="Z89" s="281"/>
      <c r="AA89" s="281"/>
      <c r="AB89" s="281"/>
    </row>
    <row r="90" spans="1:28" ht="15.75" thickBot="1" x14ac:dyDescent="0.25">
      <c r="O90" s="72"/>
      <c r="P90" s="72"/>
      <c r="Q90" s="72"/>
      <c r="R90" s="72"/>
      <c r="T90" s="281"/>
      <c r="U90" s="281"/>
      <c r="V90" s="281"/>
      <c r="W90" s="281"/>
      <c r="X90" s="281"/>
      <c r="Y90" s="281"/>
      <c r="Z90" s="281"/>
      <c r="AA90" s="281"/>
      <c r="AB90" s="281"/>
    </row>
    <row r="91" spans="1:28" s="53" customFormat="1" x14ac:dyDescent="0.2">
      <c r="A91" s="12" t="s">
        <v>132</v>
      </c>
      <c r="B91" s="11"/>
      <c r="C91" s="11"/>
      <c r="D91" s="11"/>
      <c r="E91" s="11"/>
      <c r="F91" s="10"/>
      <c r="G91" s="9"/>
      <c r="H91" s="9"/>
      <c r="I91" s="9"/>
      <c r="J91" s="9"/>
      <c r="K91" s="9"/>
      <c r="L91" s="9"/>
      <c r="M91" s="8"/>
      <c r="N91" s="7"/>
      <c r="O91" s="72"/>
      <c r="P91" s="72"/>
      <c r="Q91" s="72"/>
      <c r="R91" s="72"/>
      <c r="T91" s="281"/>
      <c r="U91" s="281"/>
      <c r="V91" s="281"/>
      <c r="W91" s="281"/>
      <c r="X91" s="281"/>
      <c r="Y91" s="281"/>
      <c r="Z91" s="281"/>
      <c r="AA91" s="281"/>
      <c r="AB91" s="281"/>
    </row>
    <row r="92" spans="1:28" x14ac:dyDescent="0.2">
      <c r="A92" s="49" t="s">
        <v>133</v>
      </c>
      <c r="B92" s="57"/>
      <c r="C92" s="57"/>
      <c r="D92" s="57"/>
      <c r="E92" s="57"/>
      <c r="F92" s="51"/>
      <c r="G92" s="15"/>
      <c r="H92" s="15"/>
      <c r="I92" s="15"/>
      <c r="J92" s="15"/>
      <c r="K92" s="15"/>
      <c r="L92" s="15"/>
      <c r="M92" s="14"/>
      <c r="N92" s="13"/>
      <c r="O92" s="73"/>
      <c r="P92" s="73"/>
      <c r="Q92" s="73"/>
      <c r="R92" s="73"/>
      <c r="T92" s="281"/>
      <c r="U92" s="281"/>
      <c r="V92" s="281"/>
      <c r="W92" s="281"/>
      <c r="X92" s="281"/>
      <c r="Y92" s="281"/>
      <c r="Z92" s="281"/>
      <c r="AA92" s="281"/>
      <c r="AB92" s="281"/>
    </row>
    <row r="93" spans="1:28" ht="33.75" x14ac:dyDescent="0.2">
      <c r="A93" s="43" t="s">
        <v>90</v>
      </c>
      <c r="B93" s="44"/>
      <c r="C93" s="45"/>
      <c r="D93" s="45"/>
      <c r="E93" s="45"/>
      <c r="F93" s="45"/>
      <c r="G93" s="32" t="s">
        <v>39</v>
      </c>
      <c r="H93" s="32" t="s">
        <v>40</v>
      </c>
      <c r="I93" s="32" t="s">
        <v>41</v>
      </c>
      <c r="J93" s="32" t="s">
        <v>42</v>
      </c>
      <c r="K93" s="32" t="s">
        <v>43</v>
      </c>
      <c r="L93" s="32" t="s">
        <v>44</v>
      </c>
      <c r="M93" s="40" t="s">
        <v>45</v>
      </c>
      <c r="N93" s="41" t="s">
        <v>46</v>
      </c>
      <c r="O93" s="71" t="s">
        <v>73</v>
      </c>
      <c r="P93" s="71" t="s">
        <v>74</v>
      </c>
      <c r="Q93" s="71" t="s">
        <v>75</v>
      </c>
      <c r="R93" s="71" t="s">
        <v>76</v>
      </c>
      <c r="T93" s="281"/>
      <c r="U93" s="281"/>
      <c r="V93" s="281"/>
      <c r="W93" s="281"/>
      <c r="X93" s="281"/>
      <c r="Y93" s="281"/>
      <c r="Z93" s="281"/>
      <c r="AA93" s="281"/>
      <c r="AB93" s="281"/>
    </row>
    <row r="94" spans="1:28" x14ac:dyDescent="0.2">
      <c r="A94" s="257"/>
      <c r="B94" s="258"/>
      <c r="C94" s="259"/>
      <c r="D94" s="260"/>
      <c r="E94" s="261"/>
      <c r="F94" s="30"/>
      <c r="G94" s="244">
        <v>0</v>
      </c>
      <c r="H94" s="244">
        <v>0</v>
      </c>
      <c r="I94" s="153">
        <f t="shared" ref="I94:I96" si="47">G94-H94</f>
        <v>0</v>
      </c>
      <c r="J94" s="148">
        <v>0</v>
      </c>
      <c r="K94" s="148">
        <v>0</v>
      </c>
      <c r="L94" s="153">
        <f>SUM(J94:K94)</f>
        <v>0</v>
      </c>
      <c r="M94" s="31" t="str">
        <f>IFERROR(L94/H94,"N/A")</f>
        <v>N/A</v>
      </c>
      <c r="N94" s="151">
        <f t="shared" ref="N94:N96" si="48">AB94</f>
        <v>0</v>
      </c>
      <c r="O94" s="72"/>
      <c r="P94" s="72"/>
      <c r="Q94" s="72"/>
      <c r="R94" s="72"/>
      <c r="T94" s="281"/>
      <c r="U94" s="281"/>
      <c r="V94" s="281"/>
      <c r="W94" s="281"/>
      <c r="X94" s="281"/>
      <c r="Y94" s="281"/>
      <c r="Z94" s="281"/>
      <c r="AA94" s="281"/>
      <c r="AB94" s="281">
        <f t="shared" ref="AB94:AB96" si="49">SUM(T94:AA94)</f>
        <v>0</v>
      </c>
    </row>
    <row r="95" spans="1:28" x14ac:dyDescent="0.2">
      <c r="A95" s="262"/>
      <c r="B95" s="258"/>
      <c r="C95" s="259"/>
      <c r="D95" s="260"/>
      <c r="E95" s="261"/>
      <c r="F95" s="30"/>
      <c r="G95" s="244">
        <v>0</v>
      </c>
      <c r="H95" s="244">
        <v>0</v>
      </c>
      <c r="I95" s="153">
        <f t="shared" si="47"/>
        <v>0</v>
      </c>
      <c r="J95" s="148">
        <v>0</v>
      </c>
      <c r="K95" s="148">
        <v>0</v>
      </c>
      <c r="L95" s="153">
        <f t="shared" ref="L95:L96" si="50">SUM(J95:K95)</f>
        <v>0</v>
      </c>
      <c r="M95" s="31" t="str">
        <f t="shared" ref="M95:M96" si="51">IFERROR(L95/H95,"N/A")</f>
        <v>N/A</v>
      </c>
      <c r="N95" s="151">
        <f t="shared" si="48"/>
        <v>0</v>
      </c>
      <c r="O95" s="72"/>
      <c r="P95" s="72"/>
      <c r="Q95" s="72"/>
      <c r="R95" s="72"/>
      <c r="T95" s="281"/>
      <c r="U95" s="281"/>
      <c r="V95" s="281"/>
      <c r="W95" s="281"/>
      <c r="X95" s="281"/>
      <c r="Y95" s="281"/>
      <c r="Z95" s="281"/>
      <c r="AA95" s="281"/>
      <c r="AB95" s="281">
        <f t="shared" si="49"/>
        <v>0</v>
      </c>
    </row>
    <row r="96" spans="1:28" x14ac:dyDescent="0.2">
      <c r="A96" s="262"/>
      <c r="B96" s="258"/>
      <c r="C96" s="259"/>
      <c r="D96" s="260"/>
      <c r="E96" s="261"/>
      <c r="F96" s="30"/>
      <c r="G96" s="244">
        <v>0</v>
      </c>
      <c r="H96" s="244">
        <v>0</v>
      </c>
      <c r="I96" s="153">
        <f t="shared" si="47"/>
        <v>0</v>
      </c>
      <c r="J96" s="148">
        <v>0</v>
      </c>
      <c r="K96" s="148">
        <v>0</v>
      </c>
      <c r="L96" s="153">
        <f t="shared" si="50"/>
        <v>0</v>
      </c>
      <c r="M96" s="31" t="str">
        <f t="shared" si="51"/>
        <v>N/A</v>
      </c>
      <c r="N96" s="151">
        <f t="shared" si="48"/>
        <v>0</v>
      </c>
      <c r="O96" s="72"/>
      <c r="P96" s="72"/>
      <c r="Q96" s="72"/>
      <c r="R96" s="72"/>
      <c r="T96" s="281"/>
      <c r="U96" s="281"/>
      <c r="V96" s="281"/>
      <c r="W96" s="281"/>
      <c r="X96" s="281"/>
      <c r="Y96" s="281"/>
      <c r="Z96" s="281"/>
      <c r="AA96" s="281"/>
      <c r="AB96" s="281">
        <f t="shared" si="49"/>
        <v>0</v>
      </c>
    </row>
    <row r="97" spans="1:28" ht="15.75" thickBot="1" x14ac:dyDescent="0.25">
      <c r="A97" s="46"/>
      <c r="B97" s="42"/>
      <c r="C97" s="144" t="s">
        <v>134</v>
      </c>
      <c r="D97" s="145"/>
      <c r="E97" s="145"/>
      <c r="F97" s="47"/>
      <c r="G97" s="159">
        <f t="shared" ref="G97:L97" si="52">SUM(G94:G96)</f>
        <v>0</v>
      </c>
      <c r="H97" s="159">
        <f t="shared" si="52"/>
        <v>0</v>
      </c>
      <c r="I97" s="159">
        <f t="shared" si="52"/>
        <v>0</v>
      </c>
      <c r="J97" s="159">
        <f t="shared" si="52"/>
        <v>0</v>
      </c>
      <c r="K97" s="159">
        <f t="shared" si="52"/>
        <v>0</v>
      </c>
      <c r="L97" s="159">
        <f t="shared" si="52"/>
        <v>0</v>
      </c>
      <c r="M97" s="48" t="str">
        <f>IFERROR(L97/H97,"N/A")</f>
        <v>N/A</v>
      </c>
      <c r="N97" s="162">
        <f>SUM(N94:N96)</f>
        <v>0</v>
      </c>
      <c r="O97" s="124"/>
      <c r="P97" s="126"/>
      <c r="Q97" s="124"/>
      <c r="R97" s="126"/>
      <c r="T97" s="281"/>
      <c r="U97" s="281"/>
      <c r="V97" s="281"/>
      <c r="W97" s="281"/>
      <c r="X97" s="281"/>
      <c r="Y97" s="281"/>
      <c r="Z97" s="281"/>
      <c r="AA97" s="281"/>
      <c r="AB97" s="281"/>
    </row>
    <row r="98" spans="1:28" ht="15.75" thickBot="1" x14ac:dyDescent="0.25">
      <c r="O98" s="72"/>
      <c r="P98" s="72"/>
      <c r="Q98" s="72"/>
      <c r="R98" s="72"/>
      <c r="T98" s="281"/>
      <c r="U98" s="281"/>
      <c r="V98" s="281"/>
      <c r="W98" s="281"/>
      <c r="X98" s="281"/>
      <c r="Y98" s="281"/>
      <c r="Z98" s="281"/>
      <c r="AA98" s="281"/>
      <c r="AB98" s="281"/>
    </row>
    <row r="99" spans="1:28" s="53" customFormat="1" x14ac:dyDescent="0.2">
      <c r="A99" s="12" t="s">
        <v>135</v>
      </c>
      <c r="B99" s="11"/>
      <c r="C99" s="11"/>
      <c r="D99" s="11"/>
      <c r="E99" s="11"/>
      <c r="F99" s="10"/>
      <c r="G99" s="9"/>
      <c r="H99" s="9"/>
      <c r="I99" s="9"/>
      <c r="J99" s="9"/>
      <c r="K99" s="9"/>
      <c r="L99" s="9"/>
      <c r="M99" s="8"/>
      <c r="N99" s="7"/>
      <c r="O99" s="72"/>
      <c r="P99" s="72"/>
      <c r="Q99" s="72"/>
      <c r="R99" s="72"/>
      <c r="T99" s="281"/>
      <c r="U99" s="281"/>
      <c r="V99" s="281"/>
      <c r="W99" s="281"/>
      <c r="X99" s="281"/>
      <c r="Y99" s="281"/>
      <c r="Z99" s="281"/>
      <c r="AA99" s="281"/>
      <c r="AB99" s="281"/>
    </row>
    <row r="100" spans="1:28" s="53" customFormat="1" x14ac:dyDescent="0.2">
      <c r="A100" s="49" t="s">
        <v>136</v>
      </c>
      <c r="B100" s="50"/>
      <c r="C100" s="50"/>
      <c r="D100" s="50"/>
      <c r="E100" s="50"/>
      <c r="F100" s="51"/>
      <c r="G100" s="51"/>
      <c r="H100" s="51"/>
      <c r="I100" s="51"/>
      <c r="J100" s="51"/>
      <c r="K100" s="51"/>
      <c r="L100" s="51"/>
      <c r="M100" s="121"/>
      <c r="N100" s="52"/>
      <c r="O100" s="73"/>
      <c r="P100" s="73"/>
      <c r="Q100" s="73"/>
      <c r="R100" s="73"/>
      <c r="T100" s="281"/>
      <c r="U100" s="281"/>
      <c r="V100" s="281"/>
      <c r="W100" s="281"/>
      <c r="X100" s="281"/>
      <c r="Y100" s="281"/>
      <c r="Z100" s="281"/>
      <c r="AA100" s="281"/>
      <c r="AB100" s="281"/>
    </row>
    <row r="101" spans="1:28" s="53" customFormat="1" x14ac:dyDescent="0.2">
      <c r="A101" s="60" t="s">
        <v>137</v>
      </c>
      <c r="B101" s="50"/>
      <c r="C101" s="50"/>
      <c r="D101" s="50"/>
      <c r="E101" s="50"/>
      <c r="F101" s="51"/>
      <c r="G101" s="51"/>
      <c r="H101" s="51"/>
      <c r="I101" s="51"/>
      <c r="J101" s="51"/>
      <c r="K101" s="51"/>
      <c r="L101" s="51"/>
      <c r="M101" s="121"/>
      <c r="N101" s="52"/>
      <c r="O101" s="73"/>
      <c r="P101" s="73"/>
      <c r="Q101" s="73"/>
      <c r="R101" s="73"/>
      <c r="T101" s="281"/>
      <c r="U101" s="281"/>
      <c r="V101" s="281"/>
      <c r="W101" s="281"/>
      <c r="X101" s="281"/>
      <c r="Y101" s="281"/>
      <c r="Z101" s="281"/>
      <c r="AA101" s="281"/>
      <c r="AB101" s="281"/>
    </row>
    <row r="102" spans="1:28" s="53" customFormat="1" x14ac:dyDescent="0.2">
      <c r="A102" s="60" t="s">
        <v>138</v>
      </c>
      <c r="B102" s="50"/>
      <c r="C102" s="50"/>
      <c r="D102" s="50"/>
      <c r="E102" s="50"/>
      <c r="F102" s="50"/>
      <c r="G102" s="54"/>
      <c r="H102" s="54"/>
      <c r="I102" s="54"/>
      <c r="J102" s="54"/>
      <c r="K102" s="54"/>
      <c r="L102" s="54"/>
      <c r="M102" s="55"/>
      <c r="N102" s="56"/>
      <c r="O102" s="73"/>
      <c r="P102" s="73"/>
      <c r="Q102" s="73"/>
      <c r="R102" s="73"/>
      <c r="T102" s="281"/>
      <c r="U102" s="281"/>
      <c r="V102" s="281"/>
      <c r="W102" s="281"/>
      <c r="X102" s="281"/>
      <c r="Y102" s="281"/>
      <c r="Z102" s="281"/>
      <c r="AA102" s="281"/>
      <c r="AB102" s="281"/>
    </row>
    <row r="103" spans="1:28" ht="34.5" thickBot="1" x14ac:dyDescent="0.25">
      <c r="A103" s="43" t="s">
        <v>90</v>
      </c>
      <c r="B103" s="44"/>
      <c r="C103" s="45"/>
      <c r="D103" s="45"/>
      <c r="E103" s="45"/>
      <c r="F103" s="45"/>
      <c r="G103" s="32" t="s">
        <v>39</v>
      </c>
      <c r="H103" s="32" t="s">
        <v>40</v>
      </c>
      <c r="I103" s="32" t="s">
        <v>41</v>
      </c>
      <c r="J103" s="32" t="s">
        <v>42</v>
      </c>
      <c r="K103" s="32" t="s">
        <v>43</v>
      </c>
      <c r="L103" s="32" t="s">
        <v>44</v>
      </c>
      <c r="M103" s="40" t="s">
        <v>45</v>
      </c>
      <c r="N103" s="41" t="s">
        <v>46</v>
      </c>
      <c r="O103" s="71" t="s">
        <v>73</v>
      </c>
      <c r="P103" s="71" t="s">
        <v>74</v>
      </c>
      <c r="Q103" s="71" t="s">
        <v>75</v>
      </c>
      <c r="R103" s="71" t="s">
        <v>76</v>
      </c>
      <c r="T103" s="281"/>
      <c r="U103" s="281"/>
      <c r="V103" s="281"/>
      <c r="W103" s="281"/>
      <c r="X103" s="281"/>
      <c r="Y103" s="281"/>
      <c r="Z103" s="281"/>
      <c r="AA103" s="281"/>
      <c r="AB103" s="281"/>
    </row>
    <row r="104" spans="1:28" ht="15.75" thickBot="1" x14ac:dyDescent="0.25">
      <c r="A104" s="269" t="s">
        <v>139</v>
      </c>
      <c r="B104" s="270"/>
      <c r="C104" s="271"/>
      <c r="D104" s="30"/>
      <c r="E104" s="79" t="s">
        <v>140</v>
      </c>
      <c r="F104" s="80">
        <f>IFERROR(H106/H108,"N/A")</f>
        <v>0.10780991426560028</v>
      </c>
      <c r="G104" s="253">
        <f>G36*0.15</f>
        <v>78300</v>
      </c>
      <c r="H104" s="253">
        <f>H36*0.15</f>
        <v>38208.75</v>
      </c>
      <c r="I104" s="164">
        <f>G104-H104</f>
        <v>40091.25</v>
      </c>
      <c r="J104" s="163">
        <f>19104</f>
        <v>19104</v>
      </c>
      <c r="K104" s="163">
        <v>0</v>
      </c>
      <c r="L104" s="153">
        <f>SUM(J104:K104)</f>
        <v>19104</v>
      </c>
      <c r="M104" s="31">
        <f>IFERROR(L104/H104,"N/A")</f>
        <v>0.49999018549416036</v>
      </c>
      <c r="N104" s="151">
        <f t="shared" ref="N104" si="53">AB104</f>
        <v>32010</v>
      </c>
      <c r="O104" s="72"/>
      <c r="P104" s="72"/>
      <c r="Q104" s="72"/>
      <c r="R104" s="72"/>
      <c r="T104" s="281"/>
      <c r="U104" s="281"/>
      <c r="V104" s="281">
        <f>7092</f>
        <v>7092</v>
      </c>
      <c r="W104" s="281"/>
      <c r="X104" s="281">
        <f>5814</f>
        <v>5814</v>
      </c>
      <c r="Y104" s="281">
        <f t="shared" ref="Y104" si="54">L104</f>
        <v>19104</v>
      </c>
      <c r="Z104" s="281"/>
      <c r="AA104" s="281"/>
      <c r="AB104" s="281">
        <f t="shared" ref="AB104" si="55">SUM(T104:AA104)</f>
        <v>32010</v>
      </c>
    </row>
    <row r="105" spans="1:28" ht="15.75" thickBot="1" x14ac:dyDescent="0.25">
      <c r="A105" s="272"/>
      <c r="B105" s="270"/>
      <c r="C105" s="273"/>
      <c r="D105" s="30"/>
      <c r="E105" s="79" t="s">
        <v>140</v>
      </c>
      <c r="F105" s="80" t="str">
        <f>IFERROR(H107/H109,"N/A")</f>
        <v>N/A</v>
      </c>
      <c r="G105" s="253">
        <v>0</v>
      </c>
      <c r="H105" s="253">
        <v>0</v>
      </c>
      <c r="I105" s="164">
        <f t="shared" ref="I105" si="56">G105-H105</f>
        <v>0</v>
      </c>
      <c r="J105" s="163">
        <v>0</v>
      </c>
      <c r="K105" s="163">
        <v>0</v>
      </c>
      <c r="L105" s="164">
        <f>SUM(J105:K105)</f>
        <v>0</v>
      </c>
      <c r="M105" s="39" t="str">
        <f>IFERROR(L105/H105,"N/A")</f>
        <v>N/A</v>
      </c>
      <c r="N105" s="166">
        <v>0</v>
      </c>
      <c r="O105" s="72"/>
      <c r="P105" s="72"/>
      <c r="Q105" s="72"/>
      <c r="R105" s="72"/>
      <c r="T105" s="281"/>
      <c r="U105" s="281"/>
      <c r="V105" s="281"/>
      <c r="W105" s="281"/>
      <c r="X105" s="281"/>
      <c r="Y105" s="281"/>
      <c r="Z105" s="281"/>
      <c r="AA105" s="281"/>
      <c r="AB105" s="281"/>
    </row>
    <row r="106" spans="1:28" ht="15.75" thickBot="1" x14ac:dyDescent="0.25">
      <c r="A106" s="46"/>
      <c r="B106" s="42"/>
      <c r="C106" s="144" t="s">
        <v>141</v>
      </c>
      <c r="D106" s="145"/>
      <c r="E106" s="145"/>
      <c r="F106" s="146"/>
      <c r="G106" s="165">
        <f>SUM(G104:G105)</f>
        <v>78300</v>
      </c>
      <c r="H106" s="165">
        <f>SUM(H104:H105)</f>
        <v>38208.75</v>
      </c>
      <c r="I106" s="165">
        <f>SUM(I104:I105)</f>
        <v>40091.25</v>
      </c>
      <c r="J106" s="165">
        <f t="shared" ref="J106:L106" si="57">SUM(J104:J105)</f>
        <v>19104</v>
      </c>
      <c r="K106" s="165">
        <f t="shared" si="57"/>
        <v>0</v>
      </c>
      <c r="L106" s="165">
        <f t="shared" si="57"/>
        <v>19104</v>
      </c>
      <c r="M106" s="147">
        <f>IFERROR(L106/H106,"N/A")</f>
        <v>0.49999018549416036</v>
      </c>
      <c r="N106" s="167">
        <f>SUM(N104:N105)</f>
        <v>32010</v>
      </c>
      <c r="O106" s="124"/>
      <c r="P106" s="125"/>
      <c r="Q106" s="124"/>
      <c r="R106" s="125"/>
      <c r="T106" s="281"/>
      <c r="U106" s="281"/>
      <c r="V106" s="281"/>
      <c r="W106" s="281"/>
      <c r="X106" s="281"/>
      <c r="Y106" s="281"/>
      <c r="Z106" s="281"/>
      <c r="AA106" s="281"/>
      <c r="AB106" s="281"/>
    </row>
    <row r="107" spans="1:28" ht="15.75" thickBot="1" x14ac:dyDescent="0.25">
      <c r="T107" s="281"/>
      <c r="U107" s="281"/>
      <c r="V107" s="281"/>
      <c r="W107" s="281"/>
      <c r="X107" s="281"/>
      <c r="Y107" s="281"/>
      <c r="Z107" s="281"/>
      <c r="AA107" s="281"/>
      <c r="AB107" s="281"/>
    </row>
    <row r="108" spans="1:28" ht="16.5" thickBot="1" x14ac:dyDescent="0.3">
      <c r="A108" s="6"/>
      <c r="B108" s="4"/>
      <c r="C108" s="5" t="s">
        <v>142</v>
      </c>
      <c r="D108" s="4"/>
      <c r="E108" s="4"/>
      <c r="F108" s="3"/>
      <c r="G108" s="168">
        <f t="shared" ref="G108:L108" si="58">SUM(G106,G97,G89,G81,G58,G48,G36)</f>
        <v>787695.58000000007</v>
      </c>
      <c r="H108" s="168">
        <f t="shared" si="58"/>
        <v>354408.5</v>
      </c>
      <c r="I108" s="168">
        <f t="shared" si="58"/>
        <v>433287.08</v>
      </c>
      <c r="J108" s="168">
        <f t="shared" si="58"/>
        <v>156425.76</v>
      </c>
      <c r="K108" s="168">
        <f t="shared" si="58"/>
        <v>0</v>
      </c>
      <c r="L108" s="168">
        <f t="shared" si="58"/>
        <v>156425.76</v>
      </c>
      <c r="M108" s="2">
        <f>IFERROR(L108/H108,"N/A")</f>
        <v>0.44137135537099143</v>
      </c>
      <c r="N108" s="169">
        <f>SUM(N106,N97,N89,N81,N58,N48,N36)</f>
        <v>427293.55</v>
      </c>
      <c r="T108" s="281">
        <f>SUM(T27:T107)</f>
        <v>2198.2600000000002</v>
      </c>
      <c r="U108" s="281">
        <f>SUM(U27:U107)</f>
        <v>27290.05</v>
      </c>
      <c r="V108" s="281">
        <f t="shared" ref="V108:AB108" si="59">SUM(V27:V107)</f>
        <v>75922.210000000006</v>
      </c>
      <c r="W108" s="281">
        <f t="shared" si="59"/>
        <v>32063.93</v>
      </c>
      <c r="X108" s="281">
        <f t="shared" si="59"/>
        <v>55893.340000000011</v>
      </c>
      <c r="Y108" s="281">
        <f t="shared" si="59"/>
        <v>156425.75999999998</v>
      </c>
      <c r="Z108" s="281">
        <f t="shared" si="59"/>
        <v>27500</v>
      </c>
      <c r="AA108" s="281">
        <f t="shared" si="59"/>
        <v>50000</v>
      </c>
      <c r="AB108" s="281">
        <f t="shared" si="59"/>
        <v>427293.55000000005</v>
      </c>
    </row>
    <row r="109" spans="1:28" ht="15" customHeight="1" thickBot="1" x14ac:dyDescent="0.25"/>
    <row r="110" spans="1:28" ht="15.75" x14ac:dyDescent="0.25">
      <c r="A110" s="180" t="s">
        <v>24</v>
      </c>
      <c r="B110" s="11"/>
      <c r="C110" s="11"/>
      <c r="D110" s="11"/>
      <c r="E110" s="11"/>
      <c r="F110" s="11"/>
      <c r="G110" s="11"/>
      <c r="H110" s="11"/>
      <c r="I110" s="11"/>
      <c r="J110" s="11"/>
      <c r="K110" s="11"/>
      <c r="L110" s="11"/>
      <c r="M110" s="11"/>
      <c r="N110" s="181"/>
    </row>
    <row r="111" spans="1:28" x14ac:dyDescent="0.2">
      <c r="A111" s="182" t="s">
        <v>143</v>
      </c>
      <c r="B111" s="183"/>
      <c r="C111" s="183"/>
      <c r="D111" s="183"/>
      <c r="E111" s="183"/>
      <c r="F111" s="183"/>
      <c r="G111" s="183"/>
      <c r="H111" s="183"/>
      <c r="I111" s="183"/>
      <c r="J111" s="183"/>
      <c r="K111" s="183"/>
      <c r="L111" s="183"/>
      <c r="M111" s="183"/>
      <c r="N111" s="184"/>
    </row>
    <row r="112" spans="1:28" ht="15.75" x14ac:dyDescent="0.25">
      <c r="A112" s="182" t="s">
        <v>144</v>
      </c>
      <c r="B112" s="183"/>
      <c r="C112" s="183"/>
      <c r="D112" s="183"/>
      <c r="E112" s="183"/>
      <c r="F112" s="183"/>
      <c r="G112" s="183"/>
      <c r="H112" s="183"/>
      <c r="I112" s="183"/>
      <c r="J112" s="183"/>
      <c r="K112" s="183"/>
      <c r="L112" s="183"/>
      <c r="M112" s="183"/>
      <c r="N112" s="184"/>
    </row>
    <row r="113" spans="1:14" ht="15.75" x14ac:dyDescent="0.25">
      <c r="A113" s="182" t="s">
        <v>145</v>
      </c>
      <c r="B113" s="183"/>
      <c r="C113" s="183"/>
      <c r="D113" s="183"/>
      <c r="E113" s="183"/>
      <c r="F113" s="183"/>
      <c r="G113" s="183"/>
      <c r="H113" s="183"/>
      <c r="I113" s="183"/>
      <c r="J113" s="183"/>
      <c r="K113" s="183"/>
      <c r="L113" s="183"/>
      <c r="M113" s="183"/>
      <c r="N113" s="184"/>
    </row>
    <row r="114" spans="1:14" ht="45" customHeight="1" x14ac:dyDescent="0.2">
      <c r="A114" s="185" t="s">
        <v>146</v>
      </c>
      <c r="B114" s="186"/>
      <c r="C114" s="186" t="s">
        <v>90</v>
      </c>
      <c r="I114" s="187" t="s">
        <v>147</v>
      </c>
      <c r="J114" s="187" t="s">
        <v>148</v>
      </c>
      <c r="K114" s="187" t="s">
        <v>149</v>
      </c>
      <c r="L114" s="187" t="s">
        <v>150</v>
      </c>
      <c r="M114" s="135" t="s">
        <v>151</v>
      </c>
      <c r="N114" s="188" t="s">
        <v>152</v>
      </c>
    </row>
    <row r="115" spans="1:14" ht="15" customHeight="1" x14ac:dyDescent="0.2">
      <c r="A115" s="189" t="s">
        <v>153</v>
      </c>
      <c r="B115" s="190"/>
      <c r="C115" s="190"/>
      <c r="I115" s="191"/>
      <c r="J115" s="191"/>
      <c r="K115" s="191"/>
      <c r="L115" s="191"/>
      <c r="M115" s="24"/>
      <c r="N115" s="128"/>
    </row>
    <row r="116" spans="1:14" ht="15" customHeight="1" x14ac:dyDescent="0.2">
      <c r="A116" s="274" t="s">
        <v>154</v>
      </c>
      <c r="B116" s="275"/>
      <c r="C116" s="275"/>
      <c r="I116" s="244">
        <f>433287-170000</f>
        <v>263287</v>
      </c>
      <c r="J116" s="157">
        <v>0</v>
      </c>
      <c r="K116" s="157">
        <v>0</v>
      </c>
      <c r="L116" s="173">
        <f t="shared" ref="L116:L117" si="60">SUM(J116:K116)</f>
        <v>0</v>
      </c>
      <c r="M116" s="24"/>
      <c r="N116" s="128"/>
    </row>
    <row r="117" spans="1:14" ht="15" customHeight="1" x14ac:dyDescent="0.2">
      <c r="A117" s="274" t="s">
        <v>155</v>
      </c>
      <c r="B117" s="275"/>
      <c r="C117" s="275"/>
      <c r="I117" s="244">
        <v>170000</v>
      </c>
      <c r="J117" s="157">
        <v>0</v>
      </c>
      <c r="K117" s="157">
        <v>0</v>
      </c>
      <c r="L117" s="173">
        <f t="shared" si="60"/>
        <v>0</v>
      </c>
      <c r="M117" s="24"/>
      <c r="N117" s="128"/>
    </row>
    <row r="118" spans="1:14" x14ac:dyDescent="0.2">
      <c r="A118" s="192" t="s">
        <v>156</v>
      </c>
      <c r="B118" s="190"/>
      <c r="I118" s="191"/>
      <c r="J118" s="191"/>
      <c r="K118" s="191"/>
      <c r="L118" s="191"/>
      <c r="M118" s="24"/>
      <c r="N118" s="128"/>
    </row>
    <row r="119" spans="1:14" ht="15" customHeight="1" x14ac:dyDescent="0.2">
      <c r="A119" s="274"/>
      <c r="B119" s="275"/>
      <c r="I119" s="244">
        <v>0</v>
      </c>
      <c r="J119" s="157">
        <v>0</v>
      </c>
      <c r="K119" s="157">
        <v>0</v>
      </c>
      <c r="L119" s="173">
        <f t="shared" ref="L119:L129" si="61">SUM(J119:K119)</f>
        <v>0</v>
      </c>
      <c r="M119" s="24"/>
      <c r="N119" s="128"/>
    </row>
    <row r="120" spans="1:14" ht="15" customHeight="1" x14ac:dyDescent="0.2">
      <c r="A120" s="274"/>
      <c r="B120" s="275"/>
      <c r="I120" s="244">
        <v>0</v>
      </c>
      <c r="J120" s="157">
        <v>0</v>
      </c>
      <c r="K120" s="157">
        <v>0</v>
      </c>
      <c r="L120" s="173">
        <f t="shared" si="61"/>
        <v>0</v>
      </c>
      <c r="M120" s="24"/>
      <c r="N120" s="128"/>
    </row>
    <row r="121" spans="1:14" x14ac:dyDescent="0.2">
      <c r="A121" s="192" t="s">
        <v>157</v>
      </c>
      <c r="B121" s="190"/>
      <c r="I121" s="191"/>
      <c r="J121" s="191"/>
      <c r="K121" s="191"/>
      <c r="L121" s="191"/>
      <c r="M121" s="24"/>
      <c r="N121" s="128"/>
    </row>
    <row r="122" spans="1:14" ht="15" customHeight="1" x14ac:dyDescent="0.2">
      <c r="A122" s="274"/>
      <c r="B122" s="275"/>
      <c r="I122" s="244">
        <v>0</v>
      </c>
      <c r="J122" s="157">
        <v>0</v>
      </c>
      <c r="K122" s="157">
        <v>0</v>
      </c>
      <c r="L122" s="173">
        <f t="shared" ref="L122:L123" si="62">SUM(J122:K122)</f>
        <v>0</v>
      </c>
      <c r="M122" s="24"/>
      <c r="N122" s="128"/>
    </row>
    <row r="123" spans="1:14" ht="15" customHeight="1" x14ac:dyDescent="0.2">
      <c r="A123" s="274"/>
      <c r="B123" s="275"/>
      <c r="I123" s="244">
        <v>0</v>
      </c>
      <c r="J123" s="157">
        <v>0</v>
      </c>
      <c r="K123" s="157">
        <v>0</v>
      </c>
      <c r="L123" s="173">
        <f t="shared" si="62"/>
        <v>0</v>
      </c>
      <c r="M123" s="24"/>
      <c r="N123" s="128"/>
    </row>
    <row r="124" spans="1:14" x14ac:dyDescent="0.2">
      <c r="A124" s="192" t="s">
        <v>158</v>
      </c>
      <c r="B124" s="190"/>
      <c r="I124" s="191"/>
      <c r="J124" s="191"/>
      <c r="K124" s="191"/>
      <c r="L124" s="191"/>
      <c r="M124" s="62"/>
      <c r="N124" s="129"/>
    </row>
    <row r="125" spans="1:14" ht="15" customHeight="1" x14ac:dyDescent="0.2">
      <c r="A125" s="274"/>
      <c r="B125" s="275"/>
      <c r="I125" s="244">
        <v>0</v>
      </c>
      <c r="J125" s="157">
        <v>0</v>
      </c>
      <c r="K125" s="157">
        <v>0</v>
      </c>
      <c r="L125" s="173">
        <f t="shared" ref="L125:L126" si="63">SUM(J125:K125)</f>
        <v>0</v>
      </c>
      <c r="M125" s="24"/>
      <c r="N125" s="128"/>
    </row>
    <row r="126" spans="1:14" ht="15" customHeight="1" x14ac:dyDescent="0.2">
      <c r="A126" s="274"/>
      <c r="B126" s="275"/>
      <c r="I126" s="244">
        <v>0</v>
      </c>
      <c r="J126" s="157">
        <v>0</v>
      </c>
      <c r="K126" s="157">
        <v>0</v>
      </c>
      <c r="L126" s="173">
        <f t="shared" si="63"/>
        <v>0</v>
      </c>
      <c r="M126" s="24"/>
      <c r="N126" s="128"/>
    </row>
    <row r="127" spans="1:14" x14ac:dyDescent="0.2">
      <c r="A127" s="192" t="s">
        <v>159</v>
      </c>
      <c r="B127" s="190"/>
      <c r="I127" s="191"/>
      <c r="J127" s="191"/>
      <c r="K127" s="191"/>
      <c r="L127" s="191"/>
      <c r="M127" s="62"/>
      <c r="N127" s="129"/>
    </row>
    <row r="128" spans="1:14" ht="15" customHeight="1" x14ac:dyDescent="0.2">
      <c r="A128" s="274"/>
      <c r="B128" s="275"/>
      <c r="I128" s="244">
        <v>0</v>
      </c>
      <c r="J128" s="157">
        <v>0</v>
      </c>
      <c r="K128" s="157">
        <v>0</v>
      </c>
      <c r="L128" s="173">
        <f t="shared" si="61"/>
        <v>0</v>
      </c>
      <c r="M128" s="24"/>
      <c r="N128" s="128"/>
    </row>
    <row r="129" spans="1:14" ht="15" customHeight="1" x14ac:dyDescent="0.2">
      <c r="A129" s="274"/>
      <c r="B129" s="275"/>
      <c r="I129" s="244">
        <v>0</v>
      </c>
      <c r="J129" s="157">
        <v>0</v>
      </c>
      <c r="K129" s="157">
        <v>0</v>
      </c>
      <c r="L129" s="173">
        <f t="shared" si="61"/>
        <v>0</v>
      </c>
      <c r="M129" s="24"/>
      <c r="N129" s="128"/>
    </row>
    <row r="130" spans="1:14" x14ac:dyDescent="0.2">
      <c r="A130" s="189" t="s">
        <v>160</v>
      </c>
      <c r="B130" s="190"/>
      <c r="I130" s="191"/>
      <c r="J130" s="191"/>
      <c r="K130" s="191"/>
      <c r="L130" s="191"/>
      <c r="M130" s="62"/>
      <c r="N130" s="129"/>
    </row>
    <row r="131" spans="1:14" ht="15" customHeight="1" x14ac:dyDescent="0.2">
      <c r="A131" s="274"/>
      <c r="B131" s="275"/>
      <c r="I131" s="244">
        <v>0</v>
      </c>
      <c r="J131" s="157">
        <v>0</v>
      </c>
      <c r="K131" s="157">
        <v>0</v>
      </c>
      <c r="L131" s="173">
        <f t="shared" ref="L131:L132" si="64">SUM(J131:K131)</f>
        <v>0</v>
      </c>
      <c r="M131" s="24"/>
      <c r="N131" s="128"/>
    </row>
    <row r="132" spans="1:14" ht="15" customHeight="1" x14ac:dyDescent="0.2">
      <c r="A132" s="274"/>
      <c r="B132" s="275"/>
      <c r="I132" s="244">
        <v>0</v>
      </c>
      <c r="J132" s="157">
        <v>0</v>
      </c>
      <c r="K132" s="157">
        <v>0</v>
      </c>
      <c r="L132" s="173">
        <f t="shared" si="64"/>
        <v>0</v>
      </c>
      <c r="M132" s="24"/>
      <c r="N132" s="128"/>
    </row>
    <row r="133" spans="1:14" ht="16.5" thickBot="1" x14ac:dyDescent="0.3">
      <c r="A133" s="193" t="s">
        <v>161</v>
      </c>
      <c r="B133" s="42"/>
      <c r="C133" s="42"/>
      <c r="D133" s="194" t="s">
        <v>162</v>
      </c>
      <c r="E133" s="195"/>
      <c r="F133" s="195"/>
      <c r="G133" s="195"/>
      <c r="H133" s="195"/>
      <c r="I133" s="174">
        <f>SUM(I115:I132)</f>
        <v>433287</v>
      </c>
      <c r="J133" s="174">
        <f t="shared" ref="J133:L133" si="65">SUM(J115:J132)</f>
        <v>0</v>
      </c>
      <c r="K133" s="174">
        <f t="shared" si="65"/>
        <v>0</v>
      </c>
      <c r="L133" s="174">
        <f t="shared" si="65"/>
        <v>0</v>
      </c>
      <c r="M133" s="175">
        <f>N13-L13</f>
        <v>270867.78999999998</v>
      </c>
      <c r="N133" s="176">
        <f>IFERROR(L133-M133,"N/A")</f>
        <v>-270867.78999999998</v>
      </c>
    </row>
    <row r="134" spans="1:14" ht="15.75" thickBot="1" x14ac:dyDescent="0.25">
      <c r="A134" s="25"/>
      <c r="F134" s="69"/>
    </row>
    <row r="135" spans="1:14" x14ac:dyDescent="0.2">
      <c r="A135" s="196" t="s">
        <v>163</v>
      </c>
      <c r="B135" s="138"/>
      <c r="C135" s="138"/>
      <c r="D135" s="138"/>
      <c r="E135" s="138"/>
      <c r="F135" s="197"/>
      <c r="G135" s="197"/>
      <c r="H135" s="197"/>
      <c r="I135" s="197"/>
      <c r="J135" s="197"/>
      <c r="K135" s="197"/>
      <c r="L135" s="197"/>
      <c r="M135" s="28"/>
      <c r="N135" s="27"/>
    </row>
    <row r="136" spans="1:14" ht="15.75" thickBot="1" x14ac:dyDescent="0.25">
      <c r="A136" s="117" t="s">
        <v>164</v>
      </c>
      <c r="B136" s="118"/>
      <c r="C136" s="118"/>
      <c r="D136" s="118"/>
      <c r="E136" s="118"/>
      <c r="F136" s="198"/>
      <c r="G136" s="198"/>
      <c r="H136" s="198"/>
      <c r="I136" s="198"/>
      <c r="J136" s="198"/>
      <c r="K136" s="198"/>
      <c r="L136" s="198"/>
      <c r="M136" s="23"/>
      <c r="N136" s="22"/>
    </row>
  </sheetData>
  <conditionalFormatting sqref="B115:B132">
    <cfRule type="containsText" dxfId="29" priority="10" operator="containsText" text="VARIANCE">
      <formula>NOT(ISERROR(SEARCH("VARIANCE",B115)))</formula>
    </cfRule>
  </conditionalFormatting>
  <conditionalFormatting sqref="C115:C117">
    <cfRule type="containsText" dxfId="28" priority="1" operator="containsText" text="VARIANCE">
      <formula>NOT(ISERROR(SEARCH("VARIANCE",C115)))</formula>
    </cfRule>
  </conditionalFormatting>
  <conditionalFormatting sqref="I115:L115">
    <cfRule type="containsText" dxfId="27" priority="9" operator="containsText" text="VARIANCE">
      <formula>NOT(ISERROR(SEARCH("VARIANCE",I115)))</formula>
    </cfRule>
  </conditionalFormatting>
  <conditionalFormatting sqref="I118:L118">
    <cfRule type="containsText" dxfId="26" priority="8" operator="containsText" text="VARIANCE">
      <formula>NOT(ISERROR(SEARCH("VARIANCE",I118)))</formula>
    </cfRule>
  </conditionalFormatting>
  <conditionalFormatting sqref="I121:L121">
    <cfRule type="containsText" dxfId="25" priority="7" operator="containsText" text="VARIANCE">
      <formula>NOT(ISERROR(SEARCH("VARIANCE",I121)))</formula>
    </cfRule>
  </conditionalFormatting>
  <conditionalFormatting sqref="I124:L124">
    <cfRule type="containsText" dxfId="24" priority="6" operator="containsText" text="VARIANCE">
      <formula>NOT(ISERROR(SEARCH("VARIANCE",I124)))</formula>
    </cfRule>
  </conditionalFormatting>
  <conditionalFormatting sqref="I127:L127">
    <cfRule type="containsText" dxfId="23" priority="5" operator="containsText" text="VARIANCE">
      <formula>NOT(ISERROR(SEARCH("VARIANCE",I127)))</formula>
    </cfRule>
  </conditionalFormatting>
  <conditionalFormatting sqref="I130:L130">
    <cfRule type="containsText" dxfId="22" priority="4" operator="containsText" text="VARIANCE">
      <formula>NOT(ISERROR(SEARCH("VARIANCE",I130)))</formula>
    </cfRule>
  </conditionalFormatting>
  <conditionalFormatting sqref="O27:R35">
    <cfRule type="containsText" dxfId="21" priority="39" operator="containsText" text="VARIANCE">
      <formula>NOT(ISERROR(SEARCH("VARIANCE",O27)))</formula>
    </cfRule>
  </conditionalFormatting>
  <conditionalFormatting sqref="O48:R48">
    <cfRule type="containsText" dxfId="20" priority="29" operator="containsText" text="VARIANCE">
      <formula>NOT(ISERROR(SEARCH("VARIANCE",O48)))</formula>
    </cfRule>
  </conditionalFormatting>
  <conditionalFormatting sqref="O58:R58">
    <cfRule type="containsText" dxfId="19" priority="28" operator="containsText" text="VARIANCE">
      <formula>NOT(ISERROR(SEARCH("VARIANCE",O58)))</formula>
    </cfRule>
  </conditionalFormatting>
  <conditionalFormatting sqref="O81:R81">
    <cfRule type="containsText" dxfId="18" priority="27" operator="containsText" text="VARIANCE">
      <formula>NOT(ISERROR(SEARCH("VARIANCE",O81)))</formula>
    </cfRule>
  </conditionalFormatting>
  <conditionalFormatting sqref="O89:R89">
    <cfRule type="containsText" dxfId="17" priority="26" operator="containsText" text="VARIANCE">
      <formula>NOT(ISERROR(SEARCH("VARIANCE",O89)))</formula>
    </cfRule>
  </conditionalFormatting>
  <conditionalFormatting sqref="O97:R97">
    <cfRule type="containsText" dxfId="16" priority="25" operator="containsText" text="VARIANCE">
      <formula>NOT(ISERROR(SEARCH("VARIANCE",O97)))</formula>
    </cfRule>
  </conditionalFormatting>
  <conditionalFormatting sqref="O106:R106">
    <cfRule type="containsText" dxfId="15" priority="24" operator="containsText" text="VARIANCE">
      <formula>NOT(ISERROR(SEARCH("VARIANCE",O106)))</formula>
    </cfRule>
  </conditionalFormatting>
  <dataValidations count="6">
    <dataValidation type="list" allowBlank="1" showInputMessage="1" showErrorMessage="1" sqref="C116:C117" xr:uid="{00000000-0002-0000-0200-000000000000}">
      <formula1>$F$19:$F$21</formula1>
    </dataValidation>
    <dataValidation type="list" allowBlank="1" showInputMessage="1" showErrorMessage="1" sqref="C27:C35" xr:uid="{00000000-0002-0000-0200-000001000000}">
      <formula1>$C$19:$C$21</formula1>
    </dataValidation>
    <dataValidation type="decimal" errorStyle="warning" allowBlank="1" showInputMessage="1" showErrorMessage="1" errorTitle="VARIANCE REPORT REQUIRED" error="Percentages below 90% or above 110% require an explanation in the VARIANCE REPORT/NOTES column." sqref="M27:M35" xr:uid="{00000000-0002-0000-0200-000002000000}">
      <formula1>0.9</formula1>
      <formula2>1.1</formula2>
    </dataValidation>
    <dataValidation type="list" allowBlank="1" showInputMessage="1" showErrorMessage="1" sqref="B10" xr:uid="{00000000-0002-0000-0200-000003000000}">
      <formula1>$A$19:$A$21</formula1>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200-000004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4:F105" xr:uid="{00000000-0002-0000-0200-000005000000}">
      <formula1>0</formula1>
      <formula2>0.15</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36"/>
  <sheetViews>
    <sheetView topLeftCell="A4" zoomScale="90" zoomScaleNormal="90" workbookViewId="0">
      <pane xSplit="1" ySplit="1" topLeftCell="B5" activePane="bottomRight" state="frozen"/>
      <selection pane="topRight" activeCell="B4" sqref="B4"/>
      <selection pane="bottomLeft" activeCell="A5" sqref="A5"/>
      <selection pane="bottomRight" activeCell="I6" sqref="I6"/>
    </sheetView>
  </sheetViews>
  <sheetFormatPr defaultColWidth="8.85546875" defaultRowHeight="12.75" x14ac:dyDescent="0.2"/>
  <cols>
    <col min="1" max="1" width="33.140625" style="1" customWidth="1"/>
    <col min="2" max="2" width="32.5703125" style="1" customWidth="1"/>
    <col min="3" max="3" width="30.42578125" style="1" customWidth="1"/>
    <col min="4" max="4" width="11.140625" style="1" customWidth="1"/>
    <col min="5" max="5" width="10.85546875" style="1" customWidth="1"/>
    <col min="6" max="6" width="10" style="1" customWidth="1"/>
    <col min="7" max="9" width="14.85546875" style="1" customWidth="1"/>
    <col min="10" max="12" width="14.42578125" style="1" customWidth="1"/>
    <col min="13" max="13" width="13.85546875" style="21" bestFit="1" customWidth="1"/>
    <col min="14" max="14" width="16.7109375" style="20" customWidth="1"/>
    <col min="15" max="18" width="25" style="63" hidden="1" customWidth="1"/>
    <col min="19" max="19" width="4.140625" style="1" customWidth="1"/>
    <col min="20" max="20" width="17.5703125" style="1" customWidth="1"/>
    <col min="21" max="21" width="1.85546875" style="1" customWidth="1"/>
    <col min="22" max="22" width="16.7109375" style="1" customWidth="1"/>
    <col min="23" max="23" width="1.85546875" style="1" customWidth="1"/>
    <col min="24" max="24" width="16.140625" style="1" customWidth="1"/>
    <col min="25" max="25" width="1.7109375" style="1" customWidth="1"/>
    <col min="26" max="26" width="17.42578125" style="1" customWidth="1"/>
    <col min="27" max="27" width="2" style="1" customWidth="1"/>
    <col min="28" max="28" width="16" style="1" customWidth="1"/>
    <col min="29" max="29" width="4" style="1" customWidth="1"/>
    <col min="30" max="30" width="13.28515625" style="1" customWidth="1"/>
    <col min="31" max="31" width="3.7109375" style="1" customWidth="1"/>
    <col min="32" max="32" width="13.28515625" style="1" customWidth="1"/>
    <col min="33" max="33" width="3.7109375" style="1" customWidth="1"/>
    <col min="34" max="34" width="17.7109375" style="1" customWidth="1"/>
    <col min="35" max="35" width="3.7109375" style="1" customWidth="1"/>
    <col min="36" max="16384" width="8.85546875" style="1"/>
  </cols>
  <sheetData>
    <row r="1" spans="1:34" ht="18" x14ac:dyDescent="0.25">
      <c r="A1" s="58" t="s">
        <v>36</v>
      </c>
      <c r="B1" s="25"/>
      <c r="C1" s="36"/>
      <c r="D1" s="36"/>
      <c r="E1" s="36"/>
      <c r="F1" s="36"/>
      <c r="G1" s="36"/>
      <c r="H1" s="36"/>
      <c r="I1" s="36"/>
      <c r="J1" s="36"/>
      <c r="K1" s="36"/>
      <c r="L1" s="36"/>
      <c r="M1" s="35"/>
      <c r="N1" s="34"/>
      <c r="O1" s="70"/>
      <c r="P1" s="70"/>
      <c r="Q1" s="70"/>
      <c r="R1" s="70"/>
    </row>
    <row r="2" spans="1:34" ht="18" x14ac:dyDescent="0.2">
      <c r="A2" s="296" t="s">
        <v>37</v>
      </c>
      <c r="B2" s="25"/>
      <c r="C2" s="36"/>
      <c r="D2" s="36"/>
      <c r="E2" s="36"/>
      <c r="F2" s="36"/>
      <c r="G2" s="36"/>
      <c r="H2" s="36"/>
      <c r="I2" s="36"/>
      <c r="J2" s="36"/>
      <c r="K2" s="36"/>
      <c r="L2" s="36"/>
      <c r="M2" s="35"/>
      <c r="N2" s="34"/>
      <c r="O2" s="70"/>
      <c r="P2" s="70"/>
      <c r="Q2" s="70"/>
      <c r="R2" s="70"/>
    </row>
    <row r="3" spans="1:34" ht="13.5" thickBot="1" x14ac:dyDescent="0.25">
      <c r="A3" s="25"/>
      <c r="B3" s="25"/>
      <c r="C3" s="36"/>
      <c r="D3" s="36"/>
      <c r="E3" s="36"/>
      <c r="F3" s="36"/>
      <c r="G3" s="36"/>
      <c r="H3" s="36"/>
      <c r="I3" s="36"/>
      <c r="J3" s="36"/>
      <c r="K3" s="36"/>
      <c r="L3" s="36"/>
      <c r="M3" s="35"/>
      <c r="N3" s="34"/>
      <c r="O3" s="70"/>
      <c r="P3" s="70"/>
      <c r="Q3" s="70"/>
      <c r="R3" s="70"/>
      <c r="V3" s="285"/>
    </row>
    <row r="4" spans="1:34" ht="20.25" thickBot="1" x14ac:dyDescent="0.45">
      <c r="A4" s="19" t="s">
        <v>38</v>
      </c>
      <c r="B4" s="18"/>
      <c r="C4" s="18"/>
      <c r="D4" s="18"/>
      <c r="E4" s="18"/>
      <c r="F4" s="18"/>
      <c r="G4" s="18"/>
      <c r="H4" s="18"/>
      <c r="I4" s="18"/>
      <c r="J4" s="18"/>
      <c r="K4" s="18"/>
      <c r="L4" s="18"/>
      <c r="M4" s="120"/>
      <c r="N4" s="17"/>
      <c r="T4" s="287" t="s">
        <v>166</v>
      </c>
      <c r="U4" s="288"/>
      <c r="V4" s="287" t="s">
        <v>167</v>
      </c>
      <c r="W4" s="288"/>
      <c r="X4" s="287" t="s">
        <v>168</v>
      </c>
      <c r="Y4" s="288"/>
      <c r="Z4" s="287" t="s">
        <v>169</v>
      </c>
      <c r="AA4" s="288"/>
      <c r="AB4" s="287" t="s">
        <v>170</v>
      </c>
      <c r="AC4" s="289"/>
      <c r="AD4" s="292" t="s">
        <v>171</v>
      </c>
      <c r="AF4" s="292" t="s">
        <v>172</v>
      </c>
      <c r="AH4" s="292" t="s">
        <v>173</v>
      </c>
    </row>
    <row r="5" spans="1:34" ht="36.75" x14ac:dyDescent="0.4">
      <c r="A5" s="119"/>
      <c r="B5" s="61"/>
      <c r="C5" s="61"/>
      <c r="D5" s="61"/>
      <c r="E5" s="61"/>
      <c r="F5" s="61"/>
      <c r="G5" s="130" t="s">
        <v>39</v>
      </c>
      <c r="H5" s="130" t="s">
        <v>40</v>
      </c>
      <c r="I5" s="130" t="s">
        <v>41</v>
      </c>
      <c r="J5" s="130" t="s">
        <v>42</v>
      </c>
      <c r="K5" s="130" t="s">
        <v>43</v>
      </c>
      <c r="L5" s="130" t="s">
        <v>44</v>
      </c>
      <c r="M5" s="131" t="s">
        <v>45</v>
      </c>
      <c r="N5" s="132" t="s">
        <v>46</v>
      </c>
      <c r="O5" s="71"/>
      <c r="P5" s="71"/>
      <c r="Q5" s="71"/>
      <c r="R5" s="71"/>
      <c r="T5" s="289"/>
      <c r="U5" s="289"/>
      <c r="V5" s="289"/>
      <c r="W5" s="289"/>
      <c r="X5" s="289"/>
      <c r="Y5" s="289"/>
      <c r="Z5" s="289"/>
      <c r="AA5" s="289"/>
      <c r="AB5" s="289"/>
      <c r="AC5" s="289"/>
      <c r="AD5" s="289"/>
      <c r="AF5" s="289"/>
      <c r="AH5" s="289"/>
    </row>
    <row r="6" spans="1:34" ht="19.5" x14ac:dyDescent="0.4">
      <c r="A6" s="177" t="s">
        <v>47</v>
      </c>
      <c r="B6" s="199" t="s">
        <v>48</v>
      </c>
      <c r="C6" s="199"/>
      <c r="D6" s="171" t="str">
        <f>A24</f>
        <v>1A.  Staff Salaries</v>
      </c>
      <c r="G6" s="153">
        <f t="shared" ref="G6:K6" si="0">G36</f>
        <v>522000</v>
      </c>
      <c r="H6" s="153">
        <f t="shared" si="0"/>
        <v>235000</v>
      </c>
      <c r="I6" s="153">
        <f t="shared" si="0"/>
        <v>287000</v>
      </c>
      <c r="J6" s="153">
        <f t="shared" si="0"/>
        <v>84285</v>
      </c>
      <c r="K6" s="153">
        <f t="shared" si="0"/>
        <v>156982.01999999999</v>
      </c>
      <c r="L6" s="153">
        <f>L36</f>
        <v>241267.02</v>
      </c>
      <c r="M6" s="31">
        <f t="shared" ref="M6:M13" si="1">IFERROR(L6/H6,"N/A")</f>
        <v>1.026668170212766</v>
      </c>
      <c r="N6" s="155">
        <f>N36</f>
        <v>532926.59000000008</v>
      </c>
      <c r="T6" s="289"/>
      <c r="U6" s="289"/>
      <c r="V6" s="289"/>
      <c r="W6" s="289"/>
      <c r="X6" s="289"/>
      <c r="Y6" s="289"/>
      <c r="Z6" s="289"/>
      <c r="AA6" s="289"/>
      <c r="AB6" s="289"/>
      <c r="AC6" s="289"/>
      <c r="AD6" s="289"/>
      <c r="AF6" s="289"/>
      <c r="AH6" s="289"/>
    </row>
    <row r="7" spans="1:34" ht="19.5" x14ac:dyDescent="0.4">
      <c r="A7" s="177" t="s">
        <v>49</v>
      </c>
      <c r="B7" s="200" t="s">
        <v>50</v>
      </c>
      <c r="C7" s="200"/>
      <c r="D7" s="171" t="str">
        <f>A38</f>
        <v>1B.  Staff Fringe Benefits</v>
      </c>
      <c r="G7" s="153">
        <f t="shared" ref="G7:I7" si="2">G48</f>
        <v>78300</v>
      </c>
      <c r="H7" s="153">
        <f t="shared" si="2"/>
        <v>35250</v>
      </c>
      <c r="I7" s="153">
        <f t="shared" si="2"/>
        <v>43050</v>
      </c>
      <c r="J7" s="153">
        <f>J48</f>
        <v>13865</v>
      </c>
      <c r="K7" s="153">
        <f>K48</f>
        <v>22019.950000000004</v>
      </c>
      <c r="L7" s="153">
        <f>L48</f>
        <v>35884.950000000004</v>
      </c>
      <c r="M7" s="31">
        <f t="shared" si="1"/>
        <v>1.0180127659574469</v>
      </c>
      <c r="N7" s="155">
        <f>N48</f>
        <v>37056.620000000003</v>
      </c>
      <c r="T7" s="289"/>
      <c r="U7" s="289"/>
      <c r="V7" s="289"/>
      <c r="W7" s="289"/>
      <c r="X7" s="289"/>
      <c r="Y7" s="289"/>
      <c r="Z7" s="289"/>
      <c r="AA7" s="289"/>
      <c r="AB7" s="289"/>
      <c r="AC7" s="289"/>
      <c r="AD7" s="289"/>
      <c r="AF7" s="289"/>
      <c r="AH7" s="289"/>
    </row>
    <row r="8" spans="1:34" ht="19.5" x14ac:dyDescent="0.4">
      <c r="A8" s="116"/>
      <c r="D8" s="171" t="str">
        <f>A50</f>
        <v>2.  Consultant Services</v>
      </c>
      <c r="G8" s="153">
        <f t="shared" ref="G8:I8" si="3">G58</f>
        <v>11761.44</v>
      </c>
      <c r="H8" s="153">
        <f t="shared" si="3"/>
        <v>11610</v>
      </c>
      <c r="I8" s="153">
        <f t="shared" si="3"/>
        <v>151.44000000000051</v>
      </c>
      <c r="J8" s="153">
        <f>J58</f>
        <v>8278</v>
      </c>
      <c r="K8" s="153">
        <f>K58</f>
        <v>3294.09</v>
      </c>
      <c r="L8" s="153">
        <f>L58</f>
        <v>11572.09</v>
      </c>
      <c r="M8" s="31">
        <f t="shared" si="1"/>
        <v>0.99673471145564174</v>
      </c>
      <c r="N8" s="155">
        <f>N58</f>
        <v>37945.46</v>
      </c>
      <c r="T8" s="289"/>
      <c r="U8" s="289"/>
      <c r="V8" s="289"/>
      <c r="W8" s="289"/>
      <c r="X8" s="289"/>
      <c r="Y8" s="289"/>
      <c r="Z8" s="289"/>
      <c r="AA8" s="289"/>
      <c r="AB8" s="289"/>
      <c r="AC8" s="289"/>
      <c r="AD8" s="289"/>
      <c r="AF8" s="289"/>
      <c r="AH8" s="289"/>
    </row>
    <row r="9" spans="1:34" ht="19.5" x14ac:dyDescent="0.4">
      <c r="A9" s="116"/>
      <c r="D9" s="171" t="str">
        <f>A60</f>
        <v>3.  Operating Expenses</v>
      </c>
      <c r="G9" s="153">
        <f t="shared" ref="G9:L9" si="4">G81</f>
        <v>97334.14</v>
      </c>
      <c r="H9" s="153">
        <f t="shared" si="4"/>
        <v>34340</v>
      </c>
      <c r="I9" s="153">
        <f t="shared" si="4"/>
        <v>62994.140000000007</v>
      </c>
      <c r="J9" s="153">
        <f t="shared" si="4"/>
        <v>17216</v>
      </c>
      <c r="K9" s="153">
        <f t="shared" si="4"/>
        <v>10259.94</v>
      </c>
      <c r="L9" s="153">
        <f t="shared" si="4"/>
        <v>27475.94</v>
      </c>
      <c r="M9" s="31">
        <f t="shared" si="1"/>
        <v>0.80011473500291197</v>
      </c>
      <c r="N9" s="155">
        <f>N81</f>
        <v>57004.47</v>
      </c>
      <c r="T9" s="289"/>
      <c r="U9" s="289"/>
      <c r="V9" s="289"/>
      <c r="W9" s="289"/>
      <c r="X9" s="289"/>
      <c r="Y9" s="289"/>
      <c r="Z9" s="289"/>
      <c r="AA9" s="289"/>
      <c r="AB9" s="289"/>
      <c r="AC9" s="289"/>
      <c r="AD9" s="289"/>
      <c r="AF9" s="289"/>
      <c r="AH9" s="289"/>
    </row>
    <row r="10" spans="1:34" ht="19.5" x14ac:dyDescent="0.4">
      <c r="A10" s="26" t="s">
        <v>51</v>
      </c>
      <c r="B10" s="127" t="s">
        <v>52</v>
      </c>
      <c r="D10" s="171" t="str">
        <f>A83</f>
        <v>4.  Direct Client Support</v>
      </c>
      <c r="G10" s="153">
        <f>G89</f>
        <v>0</v>
      </c>
      <c r="H10" s="153">
        <f t="shared" ref="H10:N10" si="5">H89</f>
        <v>0</v>
      </c>
      <c r="I10" s="153">
        <f t="shared" si="5"/>
        <v>0</v>
      </c>
      <c r="J10" s="153">
        <f t="shared" si="5"/>
        <v>0</v>
      </c>
      <c r="K10" s="153">
        <f t="shared" si="5"/>
        <v>0</v>
      </c>
      <c r="L10" s="153">
        <f t="shared" si="5"/>
        <v>0</v>
      </c>
      <c r="M10" s="31" t="str">
        <f t="shared" si="1"/>
        <v>N/A</v>
      </c>
      <c r="N10" s="155">
        <f t="shared" si="5"/>
        <v>0</v>
      </c>
      <c r="T10" s="289"/>
      <c r="U10" s="289"/>
      <c r="V10" s="289"/>
      <c r="W10" s="289"/>
      <c r="X10" s="289"/>
      <c r="Y10" s="289"/>
      <c r="Z10" s="289"/>
      <c r="AA10" s="289"/>
      <c r="AB10" s="289"/>
      <c r="AC10" s="289"/>
      <c r="AD10" s="289"/>
      <c r="AF10" s="289"/>
      <c r="AH10" s="289"/>
    </row>
    <row r="11" spans="1:34" ht="19.5" x14ac:dyDescent="0.4">
      <c r="A11" s="116"/>
      <c r="D11" s="171" t="str">
        <f>A91</f>
        <v>5.  Other</v>
      </c>
      <c r="G11" s="153">
        <f>G97</f>
        <v>0</v>
      </c>
      <c r="H11" s="153">
        <f t="shared" ref="H11:N11" si="6">H97</f>
        <v>0</v>
      </c>
      <c r="I11" s="153">
        <f t="shared" si="6"/>
        <v>0</v>
      </c>
      <c r="J11" s="153">
        <f t="shared" si="6"/>
        <v>0</v>
      </c>
      <c r="K11" s="153">
        <f t="shared" si="6"/>
        <v>0</v>
      </c>
      <c r="L11" s="153">
        <f t="shared" si="6"/>
        <v>0</v>
      </c>
      <c r="M11" s="31" t="str">
        <f t="shared" si="1"/>
        <v>N/A</v>
      </c>
      <c r="N11" s="155">
        <f t="shared" si="6"/>
        <v>0</v>
      </c>
      <c r="T11" s="289"/>
      <c r="U11" s="289"/>
      <c r="V11" s="289"/>
      <c r="W11" s="289"/>
      <c r="X11" s="289"/>
      <c r="Y11" s="289"/>
      <c r="Z11" s="289"/>
      <c r="AA11" s="289"/>
      <c r="AB11" s="289"/>
      <c r="AC11" s="289"/>
      <c r="AD11" s="289"/>
      <c r="AF11" s="289"/>
      <c r="AH11" s="289"/>
    </row>
    <row r="12" spans="1:34" ht="19.5" x14ac:dyDescent="0.4">
      <c r="A12" s="116"/>
      <c r="D12" s="171" t="str">
        <f>A99</f>
        <v>6.  Indirect Administrative Costs</v>
      </c>
      <c r="G12" s="153">
        <f>G106</f>
        <v>78300</v>
      </c>
      <c r="H12" s="153">
        <f t="shared" ref="H12:L12" si="7">H106</f>
        <v>38208.75</v>
      </c>
      <c r="I12" s="153">
        <f t="shared" si="7"/>
        <v>40091.25</v>
      </c>
      <c r="J12" s="153">
        <f t="shared" si="7"/>
        <v>19104</v>
      </c>
      <c r="K12" s="153">
        <f t="shared" si="7"/>
        <v>19105</v>
      </c>
      <c r="L12" s="153">
        <f t="shared" si="7"/>
        <v>38209</v>
      </c>
      <c r="M12" s="31">
        <f t="shared" si="1"/>
        <v>1.0000065430038931</v>
      </c>
      <c r="N12" s="155">
        <f>N106</f>
        <v>32010</v>
      </c>
      <c r="T12" s="289"/>
      <c r="U12" s="289"/>
      <c r="V12" s="289"/>
      <c r="W12" s="289"/>
      <c r="X12" s="289"/>
      <c r="Y12" s="289"/>
      <c r="Z12" s="289"/>
      <c r="AA12" s="289"/>
      <c r="AB12" s="289"/>
      <c r="AC12" s="289"/>
      <c r="AD12" s="289"/>
      <c r="AF12" s="289"/>
      <c r="AH12" s="289"/>
    </row>
    <row r="13" spans="1:34" ht="19.5" x14ac:dyDescent="0.4">
      <c r="A13" s="116" t="s">
        <v>53</v>
      </c>
      <c r="B13" s="170">
        <v>354409</v>
      </c>
      <c r="D13" s="172" t="str">
        <f>C108</f>
        <v>7.   TOTAL BUDGET</v>
      </c>
      <c r="E13" s="25"/>
      <c r="F13" s="25"/>
      <c r="G13" s="154">
        <f>G108</f>
        <v>787695.58000000007</v>
      </c>
      <c r="H13" s="154">
        <f t="shared" ref="H13:L13" si="8">H108</f>
        <v>354408.75</v>
      </c>
      <c r="I13" s="154">
        <f t="shared" si="8"/>
        <v>433286.83</v>
      </c>
      <c r="J13" s="154">
        <f t="shared" si="8"/>
        <v>142748</v>
      </c>
      <c r="K13" s="154">
        <f t="shared" si="8"/>
        <v>211661</v>
      </c>
      <c r="L13" s="154">
        <f t="shared" si="8"/>
        <v>354409</v>
      </c>
      <c r="M13" s="33">
        <f t="shared" si="1"/>
        <v>1.0000007054001911</v>
      </c>
      <c r="N13" s="156">
        <f>N108</f>
        <v>696943.14000000013</v>
      </c>
      <c r="T13" s="289"/>
      <c r="U13" s="289"/>
      <c r="V13" s="289"/>
      <c r="W13" s="289"/>
      <c r="X13" s="289"/>
      <c r="Y13" s="289"/>
      <c r="Z13" s="289"/>
      <c r="AA13" s="289"/>
      <c r="AB13" s="289"/>
      <c r="AC13" s="289"/>
      <c r="AD13" s="289"/>
      <c r="AF13" s="289"/>
      <c r="AH13" s="289"/>
    </row>
    <row r="14" spans="1:34" ht="19.5" x14ac:dyDescent="0.4">
      <c r="A14" s="116" t="s">
        <v>54</v>
      </c>
      <c r="B14" s="178">
        <f>L13</f>
        <v>354409</v>
      </c>
      <c r="M14" s="1"/>
      <c r="N14" s="133"/>
      <c r="T14" s="289"/>
      <c r="U14" s="289"/>
      <c r="V14" s="289"/>
      <c r="W14" s="289"/>
      <c r="X14" s="289"/>
      <c r="Y14" s="289"/>
      <c r="Z14" s="289"/>
      <c r="AA14" s="289"/>
      <c r="AB14" s="289"/>
      <c r="AC14" s="289"/>
      <c r="AD14" s="289"/>
      <c r="AF14" s="289"/>
      <c r="AH14" s="289"/>
    </row>
    <row r="15" spans="1:34" ht="19.5" x14ac:dyDescent="0.4">
      <c r="A15" s="116" t="s">
        <v>55</v>
      </c>
      <c r="B15" s="178">
        <f>B13-B14</f>
        <v>0</v>
      </c>
      <c r="M15" s="1"/>
      <c r="N15" s="133"/>
      <c r="T15" s="289"/>
      <c r="U15" s="289"/>
      <c r="V15" s="289"/>
      <c r="W15" s="289"/>
      <c r="X15" s="289"/>
      <c r="Y15" s="289"/>
      <c r="Z15" s="289"/>
      <c r="AA15" s="289"/>
      <c r="AB15" s="289"/>
      <c r="AC15" s="289"/>
      <c r="AD15" s="289"/>
      <c r="AF15" s="289"/>
      <c r="AH15" s="289"/>
    </row>
    <row r="16" spans="1:34" ht="19.5" x14ac:dyDescent="0.4">
      <c r="A16" s="116"/>
      <c r="M16" s="1"/>
      <c r="N16" s="133"/>
      <c r="T16" s="289"/>
      <c r="U16" s="289"/>
      <c r="V16" s="289"/>
      <c r="W16" s="289"/>
      <c r="X16" s="289"/>
      <c r="Y16" s="289"/>
      <c r="Z16" s="289"/>
      <c r="AA16" s="289"/>
      <c r="AB16" s="289"/>
      <c r="AC16" s="289"/>
      <c r="AD16" s="289"/>
      <c r="AF16" s="289"/>
      <c r="AH16" s="289"/>
    </row>
    <row r="17" spans="1:34" ht="20.25" thickBot="1" x14ac:dyDescent="0.45">
      <c r="A17" s="117"/>
      <c r="B17" s="118"/>
      <c r="C17" s="42"/>
      <c r="D17" s="118"/>
      <c r="E17" s="118"/>
      <c r="F17" s="118"/>
      <c r="G17" s="42"/>
      <c r="H17" s="42"/>
      <c r="I17" s="42"/>
      <c r="J17" s="42"/>
      <c r="K17" s="42"/>
      <c r="L17" s="42"/>
      <c r="M17" s="42"/>
      <c r="N17" s="134"/>
      <c r="T17" s="289"/>
      <c r="U17" s="289"/>
      <c r="V17" s="289"/>
      <c r="W17" s="289"/>
      <c r="X17" s="289"/>
      <c r="Y17" s="289"/>
      <c r="Z17" s="289"/>
      <c r="AA17" s="289"/>
      <c r="AB17" s="289"/>
      <c r="AC17" s="289"/>
      <c r="AD17" s="289"/>
      <c r="AF17" s="289"/>
      <c r="AH17" s="289"/>
    </row>
    <row r="18" spans="1:34" ht="20.25" thickBot="1" x14ac:dyDescent="0.45">
      <c r="A18" s="25"/>
      <c r="D18" s="25"/>
      <c r="E18" s="25"/>
      <c r="F18" s="25"/>
      <c r="G18" s="68"/>
      <c r="H18" s="68"/>
      <c r="I18" s="68"/>
      <c r="J18" s="68"/>
      <c r="K18" s="68"/>
      <c r="L18" s="68"/>
      <c r="M18" s="62"/>
      <c r="N18" s="68"/>
      <c r="T18" s="289"/>
      <c r="U18" s="289"/>
      <c r="V18" s="289"/>
      <c r="W18" s="289"/>
      <c r="X18" s="289"/>
      <c r="Y18" s="289"/>
      <c r="Z18" s="289"/>
      <c r="AA18" s="289"/>
      <c r="AB18" s="289"/>
      <c r="AC18" s="289"/>
      <c r="AD18" s="289"/>
      <c r="AF18" s="289"/>
      <c r="AH18" s="289"/>
    </row>
    <row r="19" spans="1:34" ht="20.25" hidden="1" thickBot="1" x14ac:dyDescent="0.45">
      <c r="A19" s="119" t="s">
        <v>56</v>
      </c>
      <c r="B19" s="61"/>
      <c r="C19" s="61" t="s">
        <v>57</v>
      </c>
      <c r="D19" s="138"/>
      <c r="E19" s="138"/>
      <c r="F19" s="61" t="s">
        <v>58</v>
      </c>
      <c r="G19" s="139"/>
      <c r="H19" s="139"/>
      <c r="I19" s="139"/>
      <c r="J19" s="139"/>
      <c r="K19" s="139"/>
      <c r="L19" s="139"/>
      <c r="M19" s="140"/>
      <c r="N19" s="141"/>
      <c r="T19" s="289"/>
      <c r="U19" s="289"/>
      <c r="V19" s="289"/>
      <c r="W19" s="289"/>
      <c r="X19" s="289"/>
      <c r="Y19" s="289"/>
      <c r="Z19" s="289"/>
      <c r="AA19" s="289"/>
      <c r="AB19" s="289"/>
      <c r="AC19" s="289"/>
      <c r="AD19" s="289"/>
      <c r="AF19" s="289"/>
      <c r="AH19" s="289"/>
    </row>
    <row r="20" spans="1:34" ht="20.25" hidden="1" thickBot="1" x14ac:dyDescent="0.45">
      <c r="A20" s="116" t="s">
        <v>59</v>
      </c>
      <c r="C20" s="1" t="s">
        <v>60</v>
      </c>
      <c r="D20" s="25"/>
      <c r="E20" s="25"/>
      <c r="F20" s="1" t="s">
        <v>61</v>
      </c>
      <c r="G20" s="68"/>
      <c r="H20" s="68"/>
      <c r="I20" s="68"/>
      <c r="J20" s="68"/>
      <c r="K20" s="68"/>
      <c r="L20" s="68"/>
      <c r="M20" s="62"/>
      <c r="N20" s="142"/>
      <c r="T20" s="289"/>
      <c r="U20" s="289"/>
      <c r="V20" s="289"/>
      <c r="W20" s="289"/>
      <c r="X20" s="289"/>
      <c r="Y20" s="289"/>
      <c r="Z20" s="289"/>
      <c r="AA20" s="289"/>
      <c r="AB20" s="289"/>
      <c r="AC20" s="289"/>
      <c r="AD20" s="289"/>
      <c r="AF20" s="289"/>
      <c r="AH20" s="289"/>
    </row>
    <row r="21" spans="1:34" ht="20.25" hidden="1" thickBot="1" x14ac:dyDescent="0.45">
      <c r="A21" s="46" t="s">
        <v>52</v>
      </c>
      <c r="B21" s="42"/>
      <c r="C21" s="1" t="s">
        <v>62</v>
      </c>
      <c r="D21" s="42"/>
      <c r="E21" s="42"/>
      <c r="F21" s="42" t="s">
        <v>63</v>
      </c>
      <c r="G21" s="42"/>
      <c r="H21" s="42"/>
      <c r="I21" s="42"/>
      <c r="J21" s="42"/>
      <c r="K21" s="42"/>
      <c r="L21" s="42"/>
      <c r="M21" s="23"/>
      <c r="N21" s="143"/>
      <c r="T21" s="289"/>
      <c r="U21" s="289"/>
      <c r="V21" s="289"/>
      <c r="W21" s="289"/>
      <c r="X21" s="289"/>
      <c r="Y21" s="289"/>
      <c r="Z21" s="289"/>
      <c r="AA21" s="289"/>
      <c r="AB21" s="289"/>
      <c r="AC21" s="289"/>
      <c r="AD21" s="289"/>
      <c r="AF21" s="289"/>
      <c r="AH21" s="289"/>
    </row>
    <row r="22" spans="1:34" ht="20.25" thickBot="1" x14ac:dyDescent="0.45">
      <c r="A22" s="19" t="s">
        <v>64</v>
      </c>
      <c r="B22" s="18"/>
      <c r="C22" s="18"/>
      <c r="D22" s="18"/>
      <c r="E22" s="18"/>
      <c r="F22" s="18"/>
      <c r="G22" s="18"/>
      <c r="H22" s="18"/>
      <c r="I22" s="18"/>
      <c r="J22" s="18"/>
      <c r="K22" s="18"/>
      <c r="L22" s="18"/>
      <c r="M22" s="120"/>
      <c r="N22" s="17"/>
      <c r="T22" s="289"/>
      <c r="U22" s="289"/>
      <c r="V22" s="289"/>
      <c r="W22" s="289"/>
      <c r="X22" s="289"/>
      <c r="Y22" s="289"/>
      <c r="Z22" s="289"/>
      <c r="AA22" s="289"/>
      <c r="AB22" s="289"/>
      <c r="AC22" s="289"/>
      <c r="AD22" s="289"/>
      <c r="AF22" s="289"/>
      <c r="AH22" s="289"/>
    </row>
    <row r="23" spans="1:34" ht="20.25" thickBot="1" x14ac:dyDescent="0.45">
      <c r="T23" s="289"/>
      <c r="U23" s="289"/>
      <c r="V23" s="289"/>
      <c r="W23" s="289"/>
      <c r="X23" s="289"/>
      <c r="Y23" s="289"/>
      <c r="Z23" s="289"/>
      <c r="AA23" s="289"/>
      <c r="AB23" s="289"/>
      <c r="AC23" s="289"/>
      <c r="AD23" s="289"/>
      <c r="AF23" s="289"/>
      <c r="AH23" s="289"/>
    </row>
    <row r="24" spans="1:34" ht="19.5" x14ac:dyDescent="0.4">
      <c r="A24" s="103" t="s">
        <v>65</v>
      </c>
      <c r="B24" s="104"/>
      <c r="C24" s="104"/>
      <c r="D24" s="104"/>
      <c r="E24" s="104"/>
      <c r="F24" s="105"/>
      <c r="G24" s="106"/>
      <c r="H24" s="106"/>
      <c r="I24" s="106"/>
      <c r="J24" s="106"/>
      <c r="K24" s="106"/>
      <c r="L24" s="106"/>
      <c r="M24" s="107"/>
      <c r="N24" s="108"/>
      <c r="T24" s="289"/>
      <c r="U24" s="289"/>
      <c r="V24" s="289"/>
      <c r="W24" s="289"/>
      <c r="X24" s="289"/>
      <c r="Y24" s="289"/>
      <c r="Z24" s="289"/>
      <c r="AA24" s="289"/>
      <c r="AB24" s="289"/>
      <c r="AC24" s="289"/>
      <c r="AD24" s="289"/>
      <c r="AF24" s="289"/>
      <c r="AH24" s="289"/>
    </row>
    <row r="25" spans="1:34" s="53" customFormat="1" ht="19.5" x14ac:dyDescent="0.4">
      <c r="A25" s="179" t="s">
        <v>66</v>
      </c>
      <c r="B25" s="57"/>
      <c r="C25" s="57"/>
      <c r="D25" s="57"/>
      <c r="E25" s="57"/>
      <c r="F25" s="51"/>
      <c r="G25" s="15"/>
      <c r="H25" s="15"/>
      <c r="I25" s="15"/>
      <c r="J25" s="15"/>
      <c r="K25" s="15"/>
      <c r="L25" s="15"/>
      <c r="M25" s="14"/>
      <c r="N25" s="109"/>
      <c r="O25" s="64"/>
      <c r="P25" s="64"/>
      <c r="Q25" s="64"/>
      <c r="R25" s="64"/>
      <c r="T25" s="289"/>
      <c r="U25" s="289"/>
      <c r="V25" s="289"/>
      <c r="W25" s="289"/>
      <c r="X25" s="289"/>
      <c r="Y25" s="289"/>
      <c r="Z25" s="289"/>
      <c r="AA25" s="289"/>
      <c r="AB25" s="289"/>
      <c r="AC25" s="289"/>
      <c r="AD25" s="289"/>
      <c r="AF25" s="289"/>
      <c r="AH25" s="289"/>
    </row>
    <row r="26" spans="1:34" s="53" customFormat="1" ht="36.75" x14ac:dyDescent="0.4">
      <c r="A26" s="136" t="s">
        <v>67</v>
      </c>
      <c r="B26" s="137" t="s">
        <v>68</v>
      </c>
      <c r="C26" s="32" t="s">
        <v>69</v>
      </c>
      <c r="D26" s="32" t="s">
        <v>70</v>
      </c>
      <c r="E26" s="32" t="s">
        <v>71</v>
      </c>
      <c r="F26" s="32" t="s">
        <v>72</v>
      </c>
      <c r="G26" s="32" t="s">
        <v>39</v>
      </c>
      <c r="H26" s="32" t="s">
        <v>40</v>
      </c>
      <c r="I26" s="32" t="s">
        <v>41</v>
      </c>
      <c r="J26" s="32" t="s">
        <v>42</v>
      </c>
      <c r="K26" s="32" t="s">
        <v>43</v>
      </c>
      <c r="L26" s="32" t="s">
        <v>44</v>
      </c>
      <c r="M26" s="40" t="s">
        <v>45</v>
      </c>
      <c r="N26" s="110" t="s">
        <v>46</v>
      </c>
      <c r="O26" s="71" t="s">
        <v>73</v>
      </c>
      <c r="P26" s="71" t="s">
        <v>74</v>
      </c>
      <c r="Q26" s="71" t="s">
        <v>75</v>
      </c>
      <c r="R26" s="71" t="s">
        <v>76</v>
      </c>
      <c r="T26" s="289"/>
      <c r="U26" s="289"/>
      <c r="V26" s="289"/>
      <c r="W26" s="289"/>
      <c r="X26" s="289"/>
      <c r="Y26" s="289"/>
      <c r="Z26" s="289"/>
      <c r="AA26" s="289"/>
      <c r="AB26" s="289"/>
      <c r="AC26" s="289"/>
      <c r="AD26" s="289"/>
      <c r="AF26" s="289"/>
      <c r="AH26" s="289"/>
    </row>
    <row r="27" spans="1:34" ht="19.5" x14ac:dyDescent="0.4">
      <c r="A27" s="238" t="s">
        <v>77</v>
      </c>
      <c r="B27" s="239" t="s">
        <v>78</v>
      </c>
      <c r="C27" s="240" t="s">
        <v>57</v>
      </c>
      <c r="D27" s="241">
        <v>1</v>
      </c>
      <c r="E27" s="242">
        <v>1</v>
      </c>
      <c r="F27" s="243">
        <v>12</v>
      </c>
      <c r="G27" s="244">
        <v>120000</v>
      </c>
      <c r="H27" s="244">
        <v>40000</v>
      </c>
      <c r="I27" s="153">
        <f>G27-H27</f>
        <v>80000</v>
      </c>
      <c r="J27" s="282">
        <f>34656-17000</f>
        <v>17656</v>
      </c>
      <c r="K27" s="148">
        <f>39223.92-J27</f>
        <v>21567.919999999998</v>
      </c>
      <c r="L27" s="149">
        <f t="shared" ref="L27:L35" si="9">SUM(J27:K27)</f>
        <v>39223.919999999998</v>
      </c>
      <c r="M27" s="31">
        <f t="shared" ref="M27:M36" si="10">IFERROR(L27/H27,"N/A")</f>
        <v>0.98059799999999997</v>
      </c>
      <c r="N27" s="151">
        <f>AH27</f>
        <v>120384.61</v>
      </c>
      <c r="O27" s="124"/>
      <c r="P27" s="125"/>
      <c r="Q27" s="124"/>
      <c r="R27" s="125"/>
      <c r="T27" s="290"/>
      <c r="U27" s="290"/>
      <c r="V27" s="290">
        <v>16311.4</v>
      </c>
      <c r="W27" s="290"/>
      <c r="X27" s="290">
        <f>8767.43</f>
        <v>8767.43</v>
      </c>
      <c r="Y27" s="290"/>
      <c r="Z27" s="290">
        <v>51626.09</v>
      </c>
      <c r="AA27" s="290"/>
      <c r="AB27" s="290">
        <v>39223.919999999998</v>
      </c>
      <c r="AC27" s="289"/>
      <c r="AD27" s="291"/>
      <c r="AF27" s="291">
        <v>4455.7700000000004</v>
      </c>
      <c r="AH27" s="293">
        <f>SUM(T27:AF27)</f>
        <v>120384.61</v>
      </c>
    </row>
    <row r="28" spans="1:34" ht="25.5" x14ac:dyDescent="0.4">
      <c r="A28" s="238" t="s">
        <v>79</v>
      </c>
      <c r="B28" s="239" t="s">
        <v>80</v>
      </c>
      <c r="C28" s="240" t="s">
        <v>62</v>
      </c>
      <c r="D28" s="241">
        <v>1</v>
      </c>
      <c r="E28" s="242">
        <v>1</v>
      </c>
      <c r="F28" s="243">
        <v>12</v>
      </c>
      <c r="G28" s="244">
        <v>69000</v>
      </c>
      <c r="H28" s="244">
        <v>33000</v>
      </c>
      <c r="I28" s="158">
        <f t="shared" ref="I28:I35" si="11">G28-H28</f>
        <v>36000</v>
      </c>
      <c r="J28" s="282">
        <v>12147</v>
      </c>
      <c r="K28" s="148">
        <f>36911.78-J28</f>
        <v>24764.78</v>
      </c>
      <c r="L28" s="149">
        <f t="shared" si="9"/>
        <v>36911.78</v>
      </c>
      <c r="M28" s="31">
        <f t="shared" si="10"/>
        <v>1.1185387878787878</v>
      </c>
      <c r="N28" s="151">
        <f t="shared" ref="N28:N34" si="12">AH28</f>
        <v>74142.23</v>
      </c>
      <c r="O28" s="124" t="s">
        <v>81</v>
      </c>
      <c r="P28" s="125"/>
      <c r="Q28" s="124"/>
      <c r="R28" s="125"/>
      <c r="T28" s="290"/>
      <c r="U28" s="290"/>
      <c r="V28" s="290">
        <v>9196.4500000000007</v>
      </c>
      <c r="W28" s="290"/>
      <c r="X28" s="290">
        <f>6011.26</f>
        <v>6011.26</v>
      </c>
      <c r="Y28" s="290"/>
      <c r="Z28" s="290">
        <v>9699.4599999999991</v>
      </c>
      <c r="AA28" s="290"/>
      <c r="AB28" s="290">
        <v>36911.78</v>
      </c>
      <c r="AC28" s="289"/>
      <c r="AD28" s="291">
        <v>5238.28</v>
      </c>
      <c r="AF28" s="291">
        <v>7085</v>
      </c>
      <c r="AH28" s="293">
        <f t="shared" ref="AH28:AH34" si="13">SUM(T28:AF28)</f>
        <v>74142.23</v>
      </c>
    </row>
    <row r="29" spans="1:34" ht="25.5" x14ac:dyDescent="0.4">
      <c r="A29" s="238" t="s">
        <v>82</v>
      </c>
      <c r="B29" s="239" t="s">
        <v>80</v>
      </c>
      <c r="C29" s="240" t="s">
        <v>62</v>
      </c>
      <c r="D29" s="241">
        <v>1</v>
      </c>
      <c r="E29" s="242">
        <v>1</v>
      </c>
      <c r="F29" s="243">
        <v>12</v>
      </c>
      <c r="G29" s="244">
        <v>69000</v>
      </c>
      <c r="H29" s="244">
        <v>33000</v>
      </c>
      <c r="I29" s="158">
        <f t="shared" si="11"/>
        <v>36000</v>
      </c>
      <c r="J29" s="282">
        <v>9822</v>
      </c>
      <c r="K29" s="148">
        <f>33086.45-J29</f>
        <v>23264.449999999997</v>
      </c>
      <c r="L29" s="149">
        <f t="shared" si="9"/>
        <v>33086.449999999997</v>
      </c>
      <c r="M29" s="31">
        <f t="shared" si="10"/>
        <v>1.0026196969696968</v>
      </c>
      <c r="N29" s="151">
        <f t="shared" si="12"/>
        <v>66995.709999999992</v>
      </c>
      <c r="O29" s="124" t="s">
        <v>81</v>
      </c>
      <c r="P29" s="125"/>
      <c r="Q29" s="124"/>
      <c r="R29" s="125"/>
      <c r="T29" s="290"/>
      <c r="U29" s="290"/>
      <c r="V29" s="290">
        <v>6866.75</v>
      </c>
      <c r="W29" s="290"/>
      <c r="X29" s="290">
        <f>5474.94</f>
        <v>5474.94</v>
      </c>
      <c r="Y29" s="290"/>
      <c r="Z29" s="290">
        <f>8124.63</f>
        <v>8124.63</v>
      </c>
      <c r="AA29" s="290"/>
      <c r="AB29" s="290">
        <v>33086.449999999997</v>
      </c>
      <c r="AC29" s="289"/>
      <c r="AD29" s="291">
        <v>5967.94</v>
      </c>
      <c r="AF29" s="291">
        <v>7475</v>
      </c>
      <c r="AH29" s="293">
        <f t="shared" si="13"/>
        <v>66995.709999999992</v>
      </c>
    </row>
    <row r="30" spans="1:34" ht="25.5" x14ac:dyDescent="0.4">
      <c r="A30" s="238" t="s">
        <v>83</v>
      </c>
      <c r="B30" s="239" t="s">
        <v>80</v>
      </c>
      <c r="C30" s="245" t="s">
        <v>62</v>
      </c>
      <c r="D30" s="241">
        <v>1</v>
      </c>
      <c r="E30" s="246">
        <v>1</v>
      </c>
      <c r="F30" s="247">
        <v>12</v>
      </c>
      <c r="G30" s="244">
        <v>65000</v>
      </c>
      <c r="H30" s="244">
        <v>33000</v>
      </c>
      <c r="I30" s="158">
        <f t="shared" si="11"/>
        <v>32000</v>
      </c>
      <c r="J30" s="282">
        <v>12200</v>
      </c>
      <c r="K30" s="148">
        <f>33829.18-J30</f>
        <v>21629.18</v>
      </c>
      <c r="L30" s="149">
        <f t="shared" si="9"/>
        <v>33829.18</v>
      </c>
      <c r="M30" s="31">
        <f t="shared" si="10"/>
        <v>1.0251266666666667</v>
      </c>
      <c r="N30" s="151">
        <f t="shared" si="12"/>
        <v>63172.780000000006</v>
      </c>
      <c r="O30" s="124" t="s">
        <v>81</v>
      </c>
      <c r="P30" s="125"/>
      <c r="Q30" s="124"/>
      <c r="R30" s="125"/>
      <c r="T30" s="290"/>
      <c r="U30" s="290"/>
      <c r="V30" s="290">
        <v>8196.94</v>
      </c>
      <c r="W30" s="290"/>
      <c r="X30" s="290">
        <f>4827.5</f>
        <v>4827.5</v>
      </c>
      <c r="Y30" s="290"/>
      <c r="Z30" s="290">
        <f>8520.11</f>
        <v>8520.11</v>
      </c>
      <c r="AA30" s="290"/>
      <c r="AB30" s="290">
        <v>33829.18</v>
      </c>
      <c r="AC30" s="289"/>
      <c r="AD30" s="291">
        <v>2500</v>
      </c>
      <c r="AF30" s="291">
        <v>5299.05</v>
      </c>
      <c r="AH30" s="293">
        <f t="shared" si="13"/>
        <v>63172.780000000006</v>
      </c>
    </row>
    <row r="31" spans="1:34" ht="25.5" x14ac:dyDescent="0.4">
      <c r="A31" s="238" t="s">
        <v>84</v>
      </c>
      <c r="B31" s="239" t="s">
        <v>80</v>
      </c>
      <c r="C31" s="245" t="s">
        <v>62</v>
      </c>
      <c r="D31" s="241">
        <v>1</v>
      </c>
      <c r="E31" s="246">
        <v>1</v>
      </c>
      <c r="F31" s="247">
        <v>12</v>
      </c>
      <c r="G31" s="244">
        <v>69000</v>
      </c>
      <c r="H31" s="244">
        <v>33000</v>
      </c>
      <c r="I31" s="158">
        <f t="shared" si="11"/>
        <v>36000</v>
      </c>
      <c r="J31" s="282">
        <v>10349</v>
      </c>
      <c r="K31" s="148">
        <f>31969.74-J31</f>
        <v>21620.74</v>
      </c>
      <c r="L31" s="149">
        <f t="shared" si="9"/>
        <v>31969.74</v>
      </c>
      <c r="M31" s="31">
        <f t="shared" si="10"/>
        <v>0.96878000000000009</v>
      </c>
      <c r="N31" s="151">
        <f t="shared" si="12"/>
        <v>66865.97</v>
      </c>
      <c r="O31" s="124" t="s">
        <v>81</v>
      </c>
      <c r="P31" s="125"/>
      <c r="Q31" s="124"/>
      <c r="R31" s="125"/>
      <c r="T31" s="290"/>
      <c r="U31" s="290"/>
      <c r="V31" s="290">
        <v>7907.1</v>
      </c>
      <c r="W31" s="290"/>
      <c r="X31" s="290">
        <f>5703.51</f>
        <v>5703.51</v>
      </c>
      <c r="Y31" s="290"/>
      <c r="Z31" s="290">
        <f>8979.81</f>
        <v>8979.81</v>
      </c>
      <c r="AA31" s="290"/>
      <c r="AB31" s="290">
        <v>31969.74</v>
      </c>
      <c r="AC31" s="289"/>
      <c r="AD31" s="291">
        <v>5293.78</v>
      </c>
      <c r="AF31" s="291">
        <v>7012.03</v>
      </c>
      <c r="AH31" s="293">
        <f t="shared" si="13"/>
        <v>66865.97</v>
      </c>
    </row>
    <row r="32" spans="1:34" ht="25.5" x14ac:dyDescent="0.4">
      <c r="A32" s="238" t="s">
        <v>85</v>
      </c>
      <c r="B32" s="239" t="s">
        <v>80</v>
      </c>
      <c r="C32" s="245" t="s">
        <v>62</v>
      </c>
      <c r="D32" s="241">
        <v>1</v>
      </c>
      <c r="E32" s="246">
        <v>1</v>
      </c>
      <c r="F32" s="247">
        <v>12</v>
      </c>
      <c r="G32" s="244">
        <v>65000</v>
      </c>
      <c r="H32" s="244">
        <v>33000</v>
      </c>
      <c r="I32" s="158">
        <f t="shared" si="11"/>
        <v>32000</v>
      </c>
      <c r="J32" s="282">
        <v>11154</v>
      </c>
      <c r="K32" s="148">
        <f>33236.36-J32</f>
        <v>22082.36</v>
      </c>
      <c r="L32" s="149">
        <f t="shared" si="9"/>
        <v>33236.36</v>
      </c>
      <c r="M32" s="31">
        <f t="shared" si="10"/>
        <v>1.0071624242424242</v>
      </c>
      <c r="N32" s="151">
        <f t="shared" si="12"/>
        <v>63265.450000000004</v>
      </c>
      <c r="O32" s="124" t="s">
        <v>81</v>
      </c>
      <c r="P32" s="125"/>
      <c r="Q32" s="124"/>
      <c r="R32" s="125"/>
      <c r="T32" s="290"/>
      <c r="U32" s="290"/>
      <c r="V32" s="290">
        <v>6656.87</v>
      </c>
      <c r="W32" s="290"/>
      <c r="X32" s="290">
        <f>5517.18</f>
        <v>5517.18</v>
      </c>
      <c r="Y32" s="290"/>
      <c r="Z32" s="290">
        <f>8255.42</f>
        <v>8255.42</v>
      </c>
      <c r="AA32" s="290"/>
      <c r="AB32" s="290">
        <v>33236.36</v>
      </c>
      <c r="AC32" s="289"/>
      <c r="AD32" s="291">
        <v>2500</v>
      </c>
      <c r="AF32" s="291">
        <v>7099.62</v>
      </c>
      <c r="AH32" s="293">
        <f t="shared" si="13"/>
        <v>63265.450000000004</v>
      </c>
    </row>
    <row r="33" spans="1:35" ht="25.5" x14ac:dyDescent="0.4">
      <c r="A33" s="238" t="s">
        <v>86</v>
      </c>
      <c r="B33" s="239" t="s">
        <v>80</v>
      </c>
      <c r="C33" s="245" t="s">
        <v>62</v>
      </c>
      <c r="D33" s="241">
        <v>1</v>
      </c>
      <c r="E33" s="246">
        <v>1</v>
      </c>
      <c r="F33" s="247">
        <v>12</v>
      </c>
      <c r="G33" s="244">
        <v>65000</v>
      </c>
      <c r="H33" s="244">
        <v>30000</v>
      </c>
      <c r="I33" s="158">
        <f t="shared" si="11"/>
        <v>35000</v>
      </c>
      <c r="J33" s="282">
        <v>10957</v>
      </c>
      <c r="K33" s="148">
        <f>33009.59-J33</f>
        <v>22052.589999999997</v>
      </c>
      <c r="L33" s="149">
        <f t="shared" si="9"/>
        <v>33009.589999999997</v>
      </c>
      <c r="M33" s="31">
        <f t="shared" si="10"/>
        <v>1.1003196666666666</v>
      </c>
      <c r="N33" s="151">
        <f t="shared" si="12"/>
        <v>64122.09</v>
      </c>
      <c r="O33" s="124" t="s">
        <v>81</v>
      </c>
      <c r="P33" s="125"/>
      <c r="Q33" s="124"/>
      <c r="R33" s="125"/>
      <c r="T33" s="290"/>
      <c r="U33" s="290"/>
      <c r="V33" s="290">
        <v>7810.01</v>
      </c>
      <c r="W33" s="290"/>
      <c r="X33" s="290">
        <f>5521.08</f>
        <v>5521.08</v>
      </c>
      <c r="Y33" s="290"/>
      <c r="Z33" s="290">
        <f>8207.88</f>
        <v>8207.8799999999992</v>
      </c>
      <c r="AA33" s="290"/>
      <c r="AB33" s="290">
        <v>33009.589999999997</v>
      </c>
      <c r="AC33" s="289"/>
      <c r="AD33" s="291">
        <v>2500</v>
      </c>
      <c r="AF33" s="291">
        <v>7073.53</v>
      </c>
      <c r="AH33" s="293">
        <f t="shared" si="13"/>
        <v>64122.09</v>
      </c>
    </row>
    <row r="34" spans="1:35" ht="19.5" x14ac:dyDescent="0.4">
      <c r="A34" s="238"/>
      <c r="B34" s="239"/>
      <c r="C34" s="245"/>
      <c r="D34" s="248"/>
      <c r="E34" s="246"/>
      <c r="F34" s="247"/>
      <c r="G34" s="244">
        <v>0</v>
      </c>
      <c r="H34" s="244">
        <v>0</v>
      </c>
      <c r="I34" s="158">
        <f t="shared" si="11"/>
        <v>0</v>
      </c>
      <c r="J34" s="282">
        <v>0</v>
      </c>
      <c r="K34" s="148">
        <v>0</v>
      </c>
      <c r="L34" s="149">
        <f t="shared" si="9"/>
        <v>0</v>
      </c>
      <c r="M34" s="31" t="str">
        <f t="shared" si="10"/>
        <v>N/A</v>
      </c>
      <c r="N34" s="151">
        <f t="shared" si="12"/>
        <v>13977.75</v>
      </c>
      <c r="O34" s="124"/>
      <c r="P34" s="125"/>
      <c r="Q34" s="124"/>
      <c r="R34" s="125"/>
      <c r="T34" s="290"/>
      <c r="U34" s="290"/>
      <c r="V34" s="290">
        <v>6692.47</v>
      </c>
      <c r="W34" s="290"/>
      <c r="X34" s="290">
        <f>6287.03+998.25</f>
        <v>7285.28</v>
      </c>
      <c r="Y34" s="290"/>
      <c r="Z34" s="290">
        <v>0</v>
      </c>
      <c r="AA34" s="290"/>
      <c r="AB34" s="290">
        <v>0</v>
      </c>
      <c r="AC34" s="289"/>
      <c r="AD34" s="291">
        <v>0</v>
      </c>
      <c r="AF34" s="291">
        <v>0</v>
      </c>
      <c r="AH34" s="293">
        <f t="shared" si="13"/>
        <v>13977.75</v>
      </c>
    </row>
    <row r="35" spans="1:35" ht="19.5" x14ac:dyDescent="0.4">
      <c r="A35" s="238"/>
      <c r="B35" s="239"/>
      <c r="C35" s="245"/>
      <c r="D35" s="248"/>
      <c r="E35" s="246"/>
      <c r="F35" s="247"/>
      <c r="G35" s="244">
        <v>0</v>
      </c>
      <c r="H35" s="244">
        <v>0</v>
      </c>
      <c r="I35" s="158">
        <f t="shared" si="11"/>
        <v>0</v>
      </c>
      <c r="J35" s="282">
        <v>0</v>
      </c>
      <c r="K35" s="148">
        <v>0</v>
      </c>
      <c r="L35" s="149">
        <f t="shared" si="9"/>
        <v>0</v>
      </c>
      <c r="M35" s="31" t="str">
        <f t="shared" si="10"/>
        <v>N/A</v>
      </c>
      <c r="N35" s="151">
        <v>0</v>
      </c>
      <c r="O35" s="124"/>
      <c r="P35" s="125"/>
      <c r="Q35" s="124"/>
      <c r="R35" s="125"/>
      <c r="T35" s="291"/>
      <c r="U35" s="291"/>
      <c r="V35" s="291"/>
      <c r="W35" s="291"/>
      <c r="X35" s="291"/>
      <c r="Y35" s="291"/>
      <c r="Z35" s="291"/>
      <c r="AA35" s="291"/>
      <c r="AB35" s="291"/>
      <c r="AC35" s="289"/>
      <c r="AD35" s="289"/>
      <c r="AF35" s="289"/>
      <c r="AH35" s="289"/>
    </row>
    <row r="36" spans="1:35" ht="13.5" thickBot="1" x14ac:dyDescent="0.25">
      <c r="A36" s="111"/>
      <c r="B36" s="102"/>
      <c r="C36" s="112" t="s">
        <v>87</v>
      </c>
      <c r="D36" s="113"/>
      <c r="E36" s="113"/>
      <c r="F36" s="114"/>
      <c r="G36" s="150">
        <f t="shared" ref="G36:L36" si="14">SUM(G27:G35)</f>
        <v>522000</v>
      </c>
      <c r="H36" s="150">
        <f t="shared" si="14"/>
        <v>235000</v>
      </c>
      <c r="I36" s="150">
        <f t="shared" si="14"/>
        <v>287000</v>
      </c>
      <c r="J36" s="150">
        <f t="shared" si="14"/>
        <v>84285</v>
      </c>
      <c r="K36" s="150">
        <f t="shared" si="14"/>
        <v>156982.01999999999</v>
      </c>
      <c r="L36" s="150">
        <f t="shared" si="14"/>
        <v>241267.02</v>
      </c>
      <c r="M36" s="115">
        <f t="shared" si="10"/>
        <v>1.026668170212766</v>
      </c>
      <c r="N36" s="152">
        <f>SUM(N27:N35)</f>
        <v>532926.59000000008</v>
      </c>
      <c r="T36" s="152">
        <f t="shared" ref="T36:AD36" si="15">SUM(T27:T35)</f>
        <v>0</v>
      </c>
      <c r="U36" s="152"/>
      <c r="V36" s="152">
        <f t="shared" si="15"/>
        <v>69637.990000000005</v>
      </c>
      <c r="W36" s="152"/>
      <c r="X36" s="152">
        <f t="shared" si="15"/>
        <v>49108.18</v>
      </c>
      <c r="Y36" s="152"/>
      <c r="Z36" s="152">
        <f t="shared" ref="Z36" si="16">SUM(Z27:Z35)</f>
        <v>103413.4</v>
      </c>
      <c r="AA36" s="152"/>
      <c r="AB36" s="152">
        <f t="shared" ref="AB36" si="17">SUM(AB27:AB35)</f>
        <v>241267.02</v>
      </c>
      <c r="AC36" s="152"/>
      <c r="AD36" s="152">
        <f t="shared" si="15"/>
        <v>24000</v>
      </c>
      <c r="AE36" s="152"/>
      <c r="AF36" s="152">
        <f t="shared" ref="AF36" si="18">SUM(AF27:AF35)</f>
        <v>45500</v>
      </c>
      <c r="AG36" s="152"/>
      <c r="AH36" s="152">
        <f t="shared" ref="AH36" si="19">SUM(AH27:AH35)</f>
        <v>532926.59000000008</v>
      </c>
      <c r="AI36" s="152"/>
    </row>
    <row r="37" spans="1:35" ht="20.25" thickBot="1" x14ac:dyDescent="0.45">
      <c r="O37" s="72"/>
      <c r="P37" s="72"/>
      <c r="Q37" s="72"/>
      <c r="R37" s="72"/>
      <c r="T37" s="289"/>
      <c r="U37" s="289"/>
      <c r="V37" s="289"/>
      <c r="W37" s="289"/>
      <c r="X37" s="289"/>
      <c r="Y37" s="289"/>
      <c r="Z37" s="289"/>
      <c r="AA37" s="289"/>
      <c r="AB37" s="289"/>
      <c r="AC37" s="289"/>
      <c r="AD37" s="289"/>
      <c r="AF37" s="289"/>
      <c r="AH37" s="289"/>
    </row>
    <row r="38" spans="1:35" ht="19.5" x14ac:dyDescent="0.4">
      <c r="A38" s="12" t="s">
        <v>88</v>
      </c>
      <c r="B38" s="11"/>
      <c r="C38" s="11"/>
      <c r="D38" s="11"/>
      <c r="E38" s="11"/>
      <c r="F38" s="10"/>
      <c r="G38" s="9"/>
      <c r="H38" s="9"/>
      <c r="I38" s="9"/>
      <c r="J38" s="9"/>
      <c r="K38" s="9"/>
      <c r="L38" s="9"/>
      <c r="M38" s="8"/>
      <c r="N38" s="7"/>
      <c r="O38" s="72"/>
      <c r="P38" s="72"/>
      <c r="Q38" s="72"/>
      <c r="R38" s="72"/>
      <c r="T38" s="289"/>
      <c r="U38" s="289"/>
      <c r="V38" s="289"/>
      <c r="W38" s="289"/>
      <c r="X38" s="289"/>
      <c r="Y38" s="289"/>
      <c r="Z38" s="289"/>
      <c r="AA38" s="289"/>
      <c r="AB38" s="289"/>
      <c r="AC38" s="289"/>
      <c r="AD38" s="289"/>
      <c r="AF38" s="289"/>
      <c r="AH38" s="289"/>
    </row>
    <row r="39" spans="1:35" s="53" customFormat="1" ht="19.5" x14ac:dyDescent="0.4">
      <c r="A39" s="49" t="s">
        <v>89</v>
      </c>
      <c r="B39" s="57"/>
      <c r="C39" s="57"/>
      <c r="D39" s="57"/>
      <c r="E39" s="57"/>
      <c r="F39" s="51"/>
      <c r="G39" s="15"/>
      <c r="H39" s="15"/>
      <c r="I39" s="15"/>
      <c r="J39" s="15"/>
      <c r="K39" s="15"/>
      <c r="L39" s="15"/>
      <c r="M39" s="14"/>
      <c r="N39" s="13"/>
      <c r="O39" s="73"/>
      <c r="P39" s="73"/>
      <c r="Q39" s="73"/>
      <c r="R39" s="73"/>
      <c r="T39" s="289"/>
      <c r="U39" s="289"/>
      <c r="V39" s="289"/>
      <c r="W39" s="289"/>
      <c r="X39" s="289"/>
      <c r="Y39" s="289"/>
      <c r="Z39" s="289"/>
      <c r="AA39" s="289"/>
      <c r="AB39" s="289"/>
      <c r="AC39" s="289"/>
      <c r="AD39" s="289"/>
      <c r="AF39" s="289"/>
      <c r="AH39" s="289"/>
    </row>
    <row r="40" spans="1:35" ht="36.75" x14ac:dyDescent="0.4">
      <c r="A40" s="43" t="s">
        <v>90</v>
      </c>
      <c r="B40" s="44"/>
      <c r="C40" s="45"/>
      <c r="D40" s="45"/>
      <c r="E40" s="45"/>
      <c r="F40" s="45"/>
      <c r="G40" s="32" t="s">
        <v>39</v>
      </c>
      <c r="H40" s="32" t="s">
        <v>40</v>
      </c>
      <c r="I40" s="32" t="s">
        <v>41</v>
      </c>
      <c r="J40" s="32" t="s">
        <v>42</v>
      </c>
      <c r="K40" s="32" t="s">
        <v>43</v>
      </c>
      <c r="L40" s="32" t="s">
        <v>44</v>
      </c>
      <c r="M40" s="40" t="s">
        <v>45</v>
      </c>
      <c r="N40" s="41" t="s">
        <v>46</v>
      </c>
      <c r="O40" s="71" t="s">
        <v>73</v>
      </c>
      <c r="P40" s="71" t="s">
        <v>74</v>
      </c>
      <c r="Q40" s="71" t="s">
        <v>75</v>
      </c>
      <c r="R40" s="71" t="s">
        <v>76</v>
      </c>
      <c r="T40" s="291"/>
      <c r="U40" s="291"/>
      <c r="V40" s="291"/>
      <c r="W40" s="291"/>
      <c r="X40" s="291"/>
      <c r="Y40" s="291"/>
      <c r="Z40" s="291"/>
      <c r="AA40" s="291"/>
      <c r="AB40" s="291"/>
      <c r="AC40" s="291"/>
      <c r="AD40" s="291"/>
      <c r="AE40" s="286"/>
      <c r="AF40" s="291"/>
      <c r="AG40" s="286"/>
      <c r="AH40" s="291"/>
    </row>
    <row r="41" spans="1:35" ht="19.5" x14ac:dyDescent="0.4">
      <c r="A41" s="249" t="s">
        <v>91</v>
      </c>
      <c r="B41" s="250"/>
      <c r="C41" s="250"/>
      <c r="D41" s="251"/>
      <c r="E41" s="252">
        <v>7.6499999999999999E-2</v>
      </c>
      <c r="F41" s="30"/>
      <c r="G41" s="253">
        <f>$G$36*E41</f>
        <v>39933</v>
      </c>
      <c r="H41" s="253">
        <f>$H$36*E41</f>
        <v>17977.5</v>
      </c>
      <c r="I41" s="153">
        <f t="shared" ref="I41:I47" si="20">G41-H41</f>
        <v>21955.5</v>
      </c>
      <c r="J41" s="282">
        <f>6301</f>
        <v>6301</v>
      </c>
      <c r="K41" s="148">
        <f>17738.97-J41</f>
        <v>11437.970000000001</v>
      </c>
      <c r="L41" s="153">
        <f>SUM(J41:K41)</f>
        <v>17738.97</v>
      </c>
      <c r="M41" s="31">
        <f>IFERROR(L41/H41,"N/A")</f>
        <v>0.98673174801835639</v>
      </c>
      <c r="N41" s="151">
        <f>Worksheet!N41</f>
        <v>19667.45</v>
      </c>
      <c r="O41" s="72"/>
      <c r="P41" s="72"/>
      <c r="Q41" s="72"/>
      <c r="R41" s="72"/>
      <c r="T41" s="291"/>
      <c r="U41" s="291"/>
      <c r="V41" s="291">
        <v>5327</v>
      </c>
      <c r="W41" s="291"/>
      <c r="X41" s="291">
        <v>3695.62</v>
      </c>
      <c r="Y41" s="291"/>
      <c r="Z41" s="291">
        <v>7732.2</v>
      </c>
      <c r="AA41" s="291"/>
      <c r="AB41" s="291"/>
      <c r="AC41" s="291"/>
      <c r="AD41" s="291">
        <v>1820</v>
      </c>
      <c r="AE41" s="286"/>
      <c r="AF41" s="291">
        <v>3300</v>
      </c>
      <c r="AG41" s="286"/>
      <c r="AH41" s="291"/>
    </row>
    <row r="42" spans="1:35" ht="19.5" x14ac:dyDescent="0.4">
      <c r="A42" s="254" t="s">
        <v>92</v>
      </c>
      <c r="B42" s="250"/>
      <c r="C42" s="255"/>
      <c r="D42" s="251"/>
      <c r="E42" s="252">
        <v>0.01</v>
      </c>
      <c r="F42" s="30"/>
      <c r="G42" s="253">
        <f t="shared" ref="G42:G45" si="21">$G$36*E42</f>
        <v>5220</v>
      </c>
      <c r="H42" s="253">
        <f t="shared" ref="H42:H45" si="22">$H$36*E42</f>
        <v>2350</v>
      </c>
      <c r="I42" s="158">
        <f t="shared" si="20"/>
        <v>2870</v>
      </c>
      <c r="J42" s="282">
        <f>640</f>
        <v>640</v>
      </c>
      <c r="K42" s="157">
        <f>1869.62-J42</f>
        <v>1229.6199999999999</v>
      </c>
      <c r="L42" s="158">
        <f t="shared" ref="L42:L47" si="23">SUM(J42:K42)</f>
        <v>1869.62</v>
      </c>
      <c r="M42" s="29">
        <f t="shared" ref="M42:M47" si="24">IFERROR(L42/H42,"N/A")</f>
        <v>0.79558297872340422</v>
      </c>
      <c r="N42" s="151">
        <f>Worksheet!N42</f>
        <v>1775.1399999999999</v>
      </c>
      <c r="O42" s="72"/>
      <c r="P42" s="72"/>
      <c r="Q42" s="72"/>
      <c r="R42" s="72"/>
      <c r="T42" s="291"/>
      <c r="U42" s="291"/>
      <c r="V42" s="291">
        <v>690</v>
      </c>
      <c r="W42" s="291"/>
      <c r="X42" s="291">
        <v>322.73</v>
      </c>
      <c r="Y42" s="291"/>
      <c r="Z42" s="291">
        <v>713.44</v>
      </c>
      <c r="AA42" s="291"/>
      <c r="AB42" s="291"/>
      <c r="AC42" s="291"/>
      <c r="AD42" s="291">
        <v>40</v>
      </c>
      <c r="AE42" s="286"/>
      <c r="AF42" s="291">
        <v>400</v>
      </c>
      <c r="AG42" s="286"/>
      <c r="AH42" s="291"/>
    </row>
    <row r="43" spans="1:35" ht="19.5" x14ac:dyDescent="0.4">
      <c r="A43" s="254" t="s">
        <v>93</v>
      </c>
      <c r="B43" s="250"/>
      <c r="C43" s="255"/>
      <c r="D43" s="251"/>
      <c r="E43" s="252">
        <v>8.5000000000000006E-3</v>
      </c>
      <c r="F43" s="30"/>
      <c r="G43" s="253">
        <f t="shared" si="21"/>
        <v>4437</v>
      </c>
      <c r="H43" s="253">
        <f t="shared" si="22"/>
        <v>1997.5000000000002</v>
      </c>
      <c r="I43" s="158">
        <f t="shared" si="20"/>
        <v>2439.5</v>
      </c>
      <c r="J43" s="282">
        <f>391</f>
        <v>391</v>
      </c>
      <c r="K43" s="157">
        <f>461.34-J43</f>
        <v>70.339999999999975</v>
      </c>
      <c r="L43" s="158">
        <f t="shared" si="23"/>
        <v>461.34</v>
      </c>
      <c r="M43" s="29">
        <f t="shared" si="24"/>
        <v>0.23095869837296618</v>
      </c>
      <c r="N43" s="151">
        <f>Worksheet!N43</f>
        <v>1171.3600000000001</v>
      </c>
      <c r="O43" s="72"/>
      <c r="P43" s="72"/>
      <c r="Q43" s="72"/>
      <c r="R43" s="72"/>
      <c r="T43" s="291"/>
      <c r="U43" s="291"/>
      <c r="V43" s="291">
        <v>181</v>
      </c>
      <c r="W43" s="291"/>
      <c r="X43" s="291">
        <v>86.48</v>
      </c>
      <c r="Y43" s="291"/>
      <c r="Z43" s="291">
        <v>303.08999999999997</v>
      </c>
      <c r="AA43" s="291"/>
      <c r="AB43" s="291"/>
      <c r="AC43" s="291"/>
      <c r="AD43" s="291">
        <v>440</v>
      </c>
      <c r="AE43" s="286"/>
      <c r="AF43" s="291">
        <v>0</v>
      </c>
      <c r="AG43" s="286"/>
      <c r="AH43" s="291"/>
    </row>
    <row r="44" spans="1:35" ht="19.5" x14ac:dyDescent="0.4">
      <c r="A44" s="254" t="s">
        <v>94</v>
      </c>
      <c r="B44" s="250"/>
      <c r="C44" s="255"/>
      <c r="D44" s="251"/>
      <c r="E44" s="252">
        <v>0.05</v>
      </c>
      <c r="F44" s="30"/>
      <c r="G44" s="253">
        <f t="shared" si="21"/>
        <v>26100</v>
      </c>
      <c r="H44" s="253">
        <f t="shared" si="22"/>
        <v>11750</v>
      </c>
      <c r="I44" s="158">
        <f t="shared" si="20"/>
        <v>14350</v>
      </c>
      <c r="J44" s="282">
        <f>5705</f>
        <v>5705</v>
      </c>
      <c r="K44" s="157">
        <f>13360.62-J44</f>
        <v>7655.6200000000008</v>
      </c>
      <c r="L44" s="158">
        <f t="shared" si="23"/>
        <v>13360.62</v>
      </c>
      <c r="M44" s="29">
        <f t="shared" si="24"/>
        <v>1.1370740425531916</v>
      </c>
      <c r="N44" s="151">
        <f>Worksheet!N44</f>
        <v>12141.73</v>
      </c>
      <c r="O44" s="72"/>
      <c r="P44" s="72"/>
      <c r="Q44" s="72"/>
      <c r="R44" s="72"/>
      <c r="T44" s="291"/>
      <c r="U44" s="291"/>
      <c r="V44" s="291">
        <v>3500</v>
      </c>
      <c r="W44" s="291"/>
      <c r="X44" s="291">
        <v>1624.29</v>
      </c>
      <c r="Y44" s="291"/>
      <c r="Z44" s="291">
        <v>4234.37</v>
      </c>
      <c r="AA44" s="291"/>
      <c r="AB44" s="291"/>
      <c r="AC44" s="291"/>
      <c r="AD44" s="291">
        <v>1100</v>
      </c>
      <c r="AE44" s="286"/>
      <c r="AF44" s="291">
        <v>400</v>
      </c>
      <c r="AG44" s="286"/>
      <c r="AH44" s="291"/>
    </row>
    <row r="45" spans="1:35" ht="19.5" x14ac:dyDescent="0.4">
      <c r="A45" s="254" t="s">
        <v>95</v>
      </c>
      <c r="B45" s="250"/>
      <c r="C45" s="255"/>
      <c r="D45" s="251"/>
      <c r="E45" s="252">
        <v>5.0000000000000001E-3</v>
      </c>
      <c r="F45" s="30"/>
      <c r="G45" s="253">
        <f t="shared" si="21"/>
        <v>2610</v>
      </c>
      <c r="H45" s="253">
        <f t="shared" si="22"/>
        <v>1175</v>
      </c>
      <c r="I45" s="158">
        <f t="shared" si="20"/>
        <v>1435</v>
      </c>
      <c r="J45" s="282">
        <f>828</f>
        <v>828</v>
      </c>
      <c r="K45" s="157">
        <f>2454.4-J45</f>
        <v>1626.4</v>
      </c>
      <c r="L45" s="158">
        <f t="shared" si="23"/>
        <v>2454.4</v>
      </c>
      <c r="M45" s="29">
        <f t="shared" si="24"/>
        <v>2.0888510638297872</v>
      </c>
      <c r="N45" s="151">
        <f>Worksheet!N45</f>
        <v>2300.94</v>
      </c>
      <c r="O45" s="72"/>
      <c r="P45" s="72"/>
      <c r="Q45" s="72"/>
      <c r="R45" s="72"/>
      <c r="T45" s="291"/>
      <c r="U45" s="291"/>
      <c r="V45" s="291">
        <v>748</v>
      </c>
      <c r="W45" s="291"/>
      <c r="X45" s="291">
        <v>393.14</v>
      </c>
      <c r="Y45" s="291"/>
      <c r="Z45" s="291">
        <v>1018.06</v>
      </c>
      <c r="AA45" s="291"/>
      <c r="AB45" s="291"/>
      <c r="AC45" s="291"/>
      <c r="AD45" s="291">
        <v>100</v>
      </c>
      <c r="AE45" s="286"/>
      <c r="AF45" s="291">
        <v>213.97</v>
      </c>
      <c r="AG45" s="286"/>
      <c r="AH45" s="291"/>
    </row>
    <row r="46" spans="1:35" ht="19.5" x14ac:dyDescent="0.4">
      <c r="A46" s="254"/>
      <c r="B46" s="250"/>
      <c r="C46" s="255"/>
      <c r="D46" s="251"/>
      <c r="E46" s="256"/>
      <c r="F46" s="30"/>
      <c r="G46" s="253">
        <v>0</v>
      </c>
      <c r="H46" s="253">
        <v>0</v>
      </c>
      <c r="I46" s="158">
        <f t="shared" si="20"/>
        <v>0</v>
      </c>
      <c r="J46" s="282">
        <v>0</v>
      </c>
      <c r="K46" s="157">
        <v>0</v>
      </c>
      <c r="L46" s="158">
        <f t="shared" si="23"/>
        <v>0</v>
      </c>
      <c r="M46" s="29" t="str">
        <f t="shared" si="24"/>
        <v>N/A</v>
      </c>
      <c r="N46" s="151">
        <f>Worksheet!N46</f>
        <v>0</v>
      </c>
      <c r="O46" s="72"/>
      <c r="P46" s="72"/>
      <c r="Q46" s="72"/>
      <c r="R46" s="72"/>
      <c r="T46" s="291"/>
      <c r="U46" s="291"/>
      <c r="V46" s="291"/>
      <c r="W46" s="291"/>
      <c r="X46" s="291"/>
      <c r="Y46" s="291"/>
      <c r="Z46" s="291"/>
      <c r="AA46" s="291"/>
      <c r="AB46" s="291"/>
      <c r="AC46" s="291"/>
      <c r="AD46" s="291"/>
      <c r="AE46" s="286"/>
      <c r="AF46" s="291"/>
      <c r="AG46" s="286"/>
      <c r="AH46" s="291"/>
    </row>
    <row r="47" spans="1:35" ht="19.5" x14ac:dyDescent="0.4">
      <c r="A47" s="254"/>
      <c r="B47" s="250"/>
      <c r="C47" s="255"/>
      <c r="D47" s="251"/>
      <c r="E47" s="256"/>
      <c r="F47" s="30"/>
      <c r="G47" s="253">
        <v>0</v>
      </c>
      <c r="H47" s="253">
        <v>0</v>
      </c>
      <c r="I47" s="158">
        <f t="shared" si="20"/>
        <v>0</v>
      </c>
      <c r="J47" s="282">
        <v>0</v>
      </c>
      <c r="K47" s="157">
        <v>0</v>
      </c>
      <c r="L47" s="158">
        <f t="shared" si="23"/>
        <v>0</v>
      </c>
      <c r="M47" s="29" t="str">
        <f t="shared" si="24"/>
        <v>N/A</v>
      </c>
      <c r="N47" s="161">
        <v>0</v>
      </c>
      <c r="O47" s="72"/>
      <c r="P47" s="72"/>
      <c r="Q47" s="72"/>
      <c r="R47" s="72"/>
      <c r="T47" s="291"/>
      <c r="U47" s="291"/>
      <c r="V47" s="291"/>
      <c r="W47" s="291"/>
      <c r="X47" s="291"/>
      <c r="Y47" s="291"/>
      <c r="Z47" s="291"/>
      <c r="AA47" s="291"/>
      <c r="AB47" s="291"/>
      <c r="AC47" s="291"/>
      <c r="AD47" s="291"/>
      <c r="AE47" s="286"/>
      <c r="AF47" s="291"/>
      <c r="AG47" s="286"/>
      <c r="AH47" s="291"/>
    </row>
    <row r="48" spans="1:35" ht="51.75" thickBot="1" x14ac:dyDescent="0.25">
      <c r="A48" s="46"/>
      <c r="B48" s="42"/>
      <c r="C48" s="144" t="s">
        <v>96</v>
      </c>
      <c r="D48" s="145"/>
      <c r="E48" s="145"/>
      <c r="F48" s="47"/>
      <c r="G48" s="159">
        <f t="shared" ref="G48:L48" si="25">SUM(G41:G47)</f>
        <v>78300</v>
      </c>
      <c r="H48" s="159">
        <f t="shared" si="25"/>
        <v>35250</v>
      </c>
      <c r="I48" s="159">
        <f t="shared" si="25"/>
        <v>43050</v>
      </c>
      <c r="J48" s="159">
        <f t="shared" si="25"/>
        <v>13865</v>
      </c>
      <c r="K48" s="159">
        <f t="shared" si="25"/>
        <v>22019.950000000004</v>
      </c>
      <c r="L48" s="159">
        <f t="shared" si="25"/>
        <v>35884.950000000004</v>
      </c>
      <c r="M48" s="48">
        <f>IFERROR(L48/H48,"N/A")</f>
        <v>1.0180127659574469</v>
      </c>
      <c r="N48" s="162">
        <f>SUM(N41:N47)</f>
        <v>37056.620000000003</v>
      </c>
      <c r="O48" s="124" t="s">
        <v>97</v>
      </c>
      <c r="P48" s="125"/>
      <c r="Q48" s="124"/>
      <c r="R48" s="125"/>
      <c r="T48" s="162">
        <f t="shared" ref="T48:AH48" si="26">SUM(T41:T47)</f>
        <v>0</v>
      </c>
      <c r="U48" s="162">
        <f t="shared" si="26"/>
        <v>0</v>
      </c>
      <c r="V48" s="162">
        <f t="shared" si="26"/>
        <v>10446</v>
      </c>
      <c r="W48" s="162">
        <f t="shared" si="26"/>
        <v>0</v>
      </c>
      <c r="X48" s="162">
        <f t="shared" si="26"/>
        <v>6122.26</v>
      </c>
      <c r="Y48" s="162">
        <f t="shared" si="26"/>
        <v>0</v>
      </c>
      <c r="Z48" s="162">
        <f t="shared" si="26"/>
        <v>14001.159999999998</v>
      </c>
      <c r="AA48" s="162">
        <f t="shared" si="26"/>
        <v>0</v>
      </c>
      <c r="AB48" s="162">
        <f t="shared" si="26"/>
        <v>0</v>
      </c>
      <c r="AC48" s="162"/>
      <c r="AD48" s="162">
        <f t="shared" si="26"/>
        <v>3500</v>
      </c>
      <c r="AE48" s="162"/>
      <c r="AF48" s="162">
        <f t="shared" si="26"/>
        <v>4313.97</v>
      </c>
      <c r="AG48" s="162"/>
      <c r="AH48" s="162">
        <f t="shared" si="26"/>
        <v>0</v>
      </c>
      <c r="AI48" s="162"/>
    </row>
    <row r="49" spans="1:35" ht="20.25" thickBot="1" x14ac:dyDescent="0.45">
      <c r="O49" s="72"/>
      <c r="P49" s="72"/>
      <c r="Q49" s="72"/>
      <c r="R49" s="72"/>
      <c r="T49" s="289"/>
      <c r="U49" s="289"/>
      <c r="V49" s="289"/>
      <c r="W49" s="289"/>
      <c r="X49" s="289"/>
      <c r="Y49" s="289"/>
      <c r="Z49" s="289"/>
      <c r="AA49" s="289"/>
      <c r="AB49" s="289"/>
      <c r="AC49" s="289"/>
      <c r="AD49" s="289"/>
      <c r="AF49" s="289"/>
      <c r="AH49" s="289"/>
    </row>
    <row r="50" spans="1:35" s="53" customFormat="1" ht="19.5" x14ac:dyDescent="0.4">
      <c r="A50" s="12" t="s">
        <v>98</v>
      </c>
      <c r="B50" s="11"/>
      <c r="C50" s="11"/>
      <c r="D50" s="11"/>
      <c r="E50" s="11"/>
      <c r="F50" s="10"/>
      <c r="G50" s="9"/>
      <c r="H50" s="9"/>
      <c r="I50" s="9"/>
      <c r="J50" s="9"/>
      <c r="K50" s="9"/>
      <c r="L50" s="9"/>
      <c r="M50" s="8"/>
      <c r="N50" s="7"/>
      <c r="O50" s="72"/>
      <c r="P50" s="72"/>
      <c r="Q50" s="72"/>
      <c r="R50" s="72"/>
      <c r="T50" s="289"/>
      <c r="U50" s="289"/>
      <c r="V50" s="289"/>
      <c r="W50" s="289"/>
      <c r="X50" s="289"/>
      <c r="Y50" s="289"/>
      <c r="Z50" s="289"/>
      <c r="AA50" s="289"/>
      <c r="AB50" s="289"/>
      <c r="AC50" s="289"/>
      <c r="AD50" s="289"/>
      <c r="AF50" s="289"/>
      <c r="AH50" s="289"/>
    </row>
    <row r="51" spans="1:35" s="53" customFormat="1" ht="19.5" x14ac:dyDescent="0.4">
      <c r="A51" s="49" t="s">
        <v>99</v>
      </c>
      <c r="B51" s="57"/>
      <c r="C51" s="57"/>
      <c r="D51" s="57"/>
      <c r="E51" s="57"/>
      <c r="F51" s="51"/>
      <c r="G51" s="15"/>
      <c r="H51" s="15"/>
      <c r="I51" s="15"/>
      <c r="J51" s="15"/>
      <c r="K51" s="15"/>
      <c r="L51" s="15"/>
      <c r="M51" s="14"/>
      <c r="N51" s="13"/>
      <c r="O51" s="73"/>
      <c r="P51" s="73"/>
      <c r="Q51" s="73"/>
      <c r="R51" s="73"/>
      <c r="T51" s="289"/>
      <c r="U51" s="289"/>
      <c r="V51" s="289"/>
      <c r="W51" s="289"/>
      <c r="X51" s="289"/>
      <c r="Y51" s="289"/>
      <c r="Z51" s="289"/>
      <c r="AA51" s="289"/>
      <c r="AB51" s="289"/>
      <c r="AC51" s="289"/>
      <c r="AD51" s="289"/>
      <c r="AF51" s="289"/>
      <c r="AH51" s="289"/>
    </row>
    <row r="52" spans="1:35" ht="36.75" x14ac:dyDescent="0.4">
      <c r="A52" s="43" t="s">
        <v>90</v>
      </c>
      <c r="B52" s="44"/>
      <c r="C52" s="45"/>
      <c r="D52" s="45"/>
      <c r="E52" s="45"/>
      <c r="F52" s="45"/>
      <c r="G52" s="32" t="s">
        <v>39</v>
      </c>
      <c r="H52" s="32" t="s">
        <v>40</v>
      </c>
      <c r="I52" s="32" t="s">
        <v>41</v>
      </c>
      <c r="J52" s="32" t="s">
        <v>42</v>
      </c>
      <c r="K52" s="32" t="s">
        <v>43</v>
      </c>
      <c r="L52" s="32" t="s">
        <v>44</v>
      </c>
      <c r="M52" s="40" t="s">
        <v>45</v>
      </c>
      <c r="N52" s="41" t="s">
        <v>46</v>
      </c>
      <c r="O52" s="71" t="s">
        <v>73</v>
      </c>
      <c r="P52" s="71" t="s">
        <v>74</v>
      </c>
      <c r="Q52" s="71" t="s">
        <v>75</v>
      </c>
      <c r="R52" s="71" t="s">
        <v>76</v>
      </c>
      <c r="T52" s="289"/>
      <c r="U52" s="289"/>
      <c r="V52" s="289"/>
      <c r="W52" s="289"/>
      <c r="X52" s="289"/>
      <c r="Y52" s="289"/>
      <c r="Z52" s="289"/>
      <c r="AA52" s="289"/>
      <c r="AB52" s="289"/>
      <c r="AC52" s="289"/>
      <c r="AD52" s="289"/>
      <c r="AF52" s="289"/>
      <c r="AH52" s="289"/>
    </row>
    <row r="53" spans="1:35" ht="19.5" x14ac:dyDescent="0.4">
      <c r="A53" s="257" t="s">
        <v>100</v>
      </c>
      <c r="B53" s="258"/>
      <c r="C53" s="259"/>
      <c r="D53" s="260"/>
      <c r="E53" s="261"/>
      <c r="F53" s="30"/>
      <c r="G53" s="244">
        <f>(69.91*7)*12</f>
        <v>5872.4400000000005</v>
      </c>
      <c r="H53" s="244">
        <v>2000</v>
      </c>
      <c r="I53" s="153">
        <f>G53-H53</f>
        <v>3872.4400000000005</v>
      </c>
      <c r="J53" s="282">
        <v>2034</v>
      </c>
      <c r="K53" s="148">
        <f>2299.41-J53</f>
        <v>265.40999999999985</v>
      </c>
      <c r="L53" s="153">
        <f>SUM(J53:K53)</f>
        <v>2299.41</v>
      </c>
      <c r="M53" s="31">
        <f>IFERROR(L53/H53,"N/A")</f>
        <v>1.149705</v>
      </c>
      <c r="N53" s="151">
        <f>Worksheet!N53</f>
        <v>3966.5699999999997</v>
      </c>
      <c r="O53" s="72" t="s">
        <v>101</v>
      </c>
      <c r="P53" s="72"/>
      <c r="Q53" s="72"/>
      <c r="R53" s="72"/>
      <c r="T53" s="291"/>
      <c r="U53" s="291"/>
      <c r="V53" s="291">
        <v>1850</v>
      </c>
      <c r="W53" s="291"/>
      <c r="X53" s="291"/>
      <c r="Y53" s="291"/>
      <c r="Z53" s="291">
        <v>1087</v>
      </c>
      <c r="AA53" s="291"/>
      <c r="AB53" s="291"/>
      <c r="AC53" s="291"/>
      <c r="AD53" s="291"/>
      <c r="AE53" s="286"/>
      <c r="AF53" s="291"/>
      <c r="AG53" s="286"/>
      <c r="AH53" s="291"/>
    </row>
    <row r="54" spans="1:35" ht="19.5" x14ac:dyDescent="0.4">
      <c r="A54" s="262" t="s">
        <v>102</v>
      </c>
      <c r="B54" s="258"/>
      <c r="C54" s="259"/>
      <c r="D54" s="260"/>
      <c r="E54" s="261"/>
      <c r="F54" s="30"/>
      <c r="G54" s="244">
        <f>(22.25*7)*12</f>
        <v>1869</v>
      </c>
      <c r="H54" s="244">
        <v>1500</v>
      </c>
      <c r="I54" s="158">
        <f t="shared" ref="I54:I57" si="27">G54-H54</f>
        <v>369</v>
      </c>
      <c r="J54" s="282">
        <f>1171</f>
        <v>1171</v>
      </c>
      <c r="K54" s="157">
        <f>2300.3-J54</f>
        <v>1129.3000000000002</v>
      </c>
      <c r="L54" s="158">
        <f t="shared" ref="L54:L57" si="28">SUM(J54:K54)</f>
        <v>2300.3000000000002</v>
      </c>
      <c r="M54" s="29">
        <f t="shared" ref="M54:M57" si="29">IFERROR(L54/H54,"N/A")</f>
        <v>1.5335333333333334</v>
      </c>
      <c r="N54" s="151">
        <f>Worksheet!N54</f>
        <v>1349.95</v>
      </c>
      <c r="O54" s="72" t="s">
        <v>101</v>
      </c>
      <c r="P54" s="72"/>
      <c r="Q54" s="72"/>
      <c r="R54" s="72"/>
      <c r="T54" s="291"/>
      <c r="U54" s="291"/>
      <c r="V54" s="291">
        <v>217</v>
      </c>
      <c r="W54" s="291"/>
      <c r="X54" s="291"/>
      <c r="Y54" s="291"/>
      <c r="Z54" s="291">
        <v>500</v>
      </c>
      <c r="AA54" s="291"/>
      <c r="AB54" s="291"/>
      <c r="AC54" s="291"/>
      <c r="AD54" s="291"/>
      <c r="AE54" s="286"/>
      <c r="AF54" s="291"/>
      <c r="AG54" s="286"/>
      <c r="AH54" s="291"/>
    </row>
    <row r="55" spans="1:35" ht="63.75" x14ac:dyDescent="0.4">
      <c r="A55" s="262" t="s">
        <v>103</v>
      </c>
      <c r="B55" s="258"/>
      <c r="C55" s="259"/>
      <c r="D55" s="260"/>
      <c r="E55" s="261"/>
      <c r="F55" s="30"/>
      <c r="G55" s="253">
        <v>4020</v>
      </c>
      <c r="H55" s="253">
        <v>8110</v>
      </c>
      <c r="I55" s="164">
        <f t="shared" si="27"/>
        <v>-4090</v>
      </c>
      <c r="J55" s="283">
        <f>5073</f>
        <v>5073</v>
      </c>
      <c r="K55" s="163">
        <f>6972.38-J55</f>
        <v>1899.38</v>
      </c>
      <c r="L55" s="158">
        <f t="shared" si="28"/>
        <v>6972.38</v>
      </c>
      <c r="M55" s="29">
        <f t="shared" si="29"/>
        <v>0.85972626387176332</v>
      </c>
      <c r="N55" s="151">
        <f>Worksheet!N55</f>
        <v>32628.94</v>
      </c>
      <c r="O55" s="72" t="s">
        <v>104</v>
      </c>
      <c r="P55" s="72"/>
      <c r="Q55" s="72"/>
      <c r="R55" s="72"/>
      <c r="T55" s="291">
        <f>67016.7</f>
        <v>67016.7</v>
      </c>
      <c r="U55" s="291"/>
      <c r="V55" s="291">
        <f>1050</f>
        <v>1050</v>
      </c>
      <c r="W55" s="291"/>
      <c r="X55" s="291"/>
      <c r="Y55" s="291"/>
      <c r="Z55" s="291">
        <v>500</v>
      </c>
      <c r="AA55" s="291"/>
      <c r="AB55" s="291"/>
      <c r="AC55" s="291"/>
      <c r="AD55" s="291"/>
      <c r="AE55" s="286"/>
      <c r="AF55" s="291"/>
      <c r="AG55" s="286"/>
      <c r="AH55" s="291"/>
    </row>
    <row r="56" spans="1:35" ht="19.5" x14ac:dyDescent="0.4">
      <c r="A56" s="263"/>
      <c r="B56" s="258"/>
      <c r="C56" s="259"/>
      <c r="D56" s="260"/>
      <c r="E56" s="261"/>
      <c r="F56" s="30"/>
      <c r="G56" s="253">
        <v>0</v>
      </c>
      <c r="H56" s="253">
        <v>0</v>
      </c>
      <c r="I56" s="164">
        <f t="shared" si="27"/>
        <v>0</v>
      </c>
      <c r="J56" s="283">
        <v>0</v>
      </c>
      <c r="K56" s="163">
        <v>0</v>
      </c>
      <c r="L56" s="158">
        <f t="shared" si="28"/>
        <v>0</v>
      </c>
      <c r="M56" s="29" t="str">
        <f t="shared" si="29"/>
        <v>N/A</v>
      </c>
      <c r="N56" s="151">
        <f>Worksheet!N56</f>
        <v>0</v>
      </c>
      <c r="O56" s="72"/>
      <c r="P56" s="72"/>
      <c r="Q56" s="72"/>
      <c r="R56" s="72"/>
      <c r="T56" s="291"/>
      <c r="U56" s="291"/>
      <c r="V56" s="291"/>
      <c r="W56" s="291"/>
      <c r="X56" s="291"/>
      <c r="Y56" s="291"/>
      <c r="Z56" s="291"/>
      <c r="AA56" s="291"/>
      <c r="AB56" s="291"/>
      <c r="AC56" s="291"/>
      <c r="AD56" s="291"/>
      <c r="AE56" s="286"/>
      <c r="AF56" s="291"/>
      <c r="AG56" s="286"/>
      <c r="AH56" s="291"/>
    </row>
    <row r="57" spans="1:35" ht="19.5" x14ac:dyDescent="0.4">
      <c r="A57" s="262"/>
      <c r="B57" s="258"/>
      <c r="C57" s="259"/>
      <c r="D57" s="260"/>
      <c r="E57" s="261"/>
      <c r="F57" s="30"/>
      <c r="G57" s="253">
        <v>0</v>
      </c>
      <c r="H57" s="253">
        <v>0</v>
      </c>
      <c r="I57" s="164">
        <f t="shared" si="27"/>
        <v>0</v>
      </c>
      <c r="J57" s="283">
        <v>0</v>
      </c>
      <c r="K57" s="163">
        <v>0</v>
      </c>
      <c r="L57" s="158">
        <f t="shared" si="28"/>
        <v>0</v>
      </c>
      <c r="M57" s="29" t="str">
        <f t="shared" si="29"/>
        <v>N/A</v>
      </c>
      <c r="N57" s="161">
        <v>0</v>
      </c>
      <c r="O57" s="72"/>
      <c r="P57" s="72"/>
      <c r="Q57" s="72"/>
      <c r="R57" s="72"/>
      <c r="T57" s="291"/>
      <c r="U57" s="291"/>
      <c r="V57" s="291"/>
      <c r="W57" s="291"/>
      <c r="X57" s="291"/>
      <c r="Y57" s="291"/>
      <c r="Z57" s="291"/>
      <c r="AA57" s="291"/>
      <c r="AB57" s="291"/>
      <c r="AC57" s="291"/>
      <c r="AD57" s="291"/>
      <c r="AE57" s="286"/>
      <c r="AF57" s="291"/>
      <c r="AG57" s="286"/>
      <c r="AH57" s="291"/>
    </row>
    <row r="58" spans="1:35" ht="13.5" thickBot="1" x14ac:dyDescent="0.25">
      <c r="A58" s="46"/>
      <c r="B58" s="42"/>
      <c r="C58" s="144" t="s">
        <v>105</v>
      </c>
      <c r="D58" s="145"/>
      <c r="E58" s="145"/>
      <c r="F58" s="47"/>
      <c r="G58" s="159">
        <f t="shared" ref="G58:L58" si="30">SUM(G53:G57)</f>
        <v>11761.44</v>
      </c>
      <c r="H58" s="159">
        <f t="shared" si="30"/>
        <v>11610</v>
      </c>
      <c r="I58" s="159">
        <f t="shared" si="30"/>
        <v>151.44000000000051</v>
      </c>
      <c r="J58" s="159">
        <f t="shared" si="30"/>
        <v>8278</v>
      </c>
      <c r="K58" s="159">
        <f t="shared" si="30"/>
        <v>3294.09</v>
      </c>
      <c r="L58" s="159">
        <f t="shared" si="30"/>
        <v>11572.09</v>
      </c>
      <c r="M58" s="48">
        <f>IFERROR(L58/H58,"N/A")</f>
        <v>0.99673471145564174</v>
      </c>
      <c r="N58" s="162">
        <f>SUM(N53:N57)</f>
        <v>37945.46</v>
      </c>
      <c r="O58" s="124"/>
      <c r="P58" s="126"/>
      <c r="Q58" s="124"/>
      <c r="R58" s="126"/>
      <c r="T58" s="162">
        <f t="shared" ref="T58:AH58" si="31">SUM(T53:T57)</f>
        <v>67016.7</v>
      </c>
      <c r="U58" s="162">
        <f t="shared" si="31"/>
        <v>0</v>
      </c>
      <c r="V58" s="162">
        <f t="shared" si="31"/>
        <v>3117</v>
      </c>
      <c r="W58" s="162">
        <f t="shared" si="31"/>
        <v>0</v>
      </c>
      <c r="X58" s="162">
        <f t="shared" si="31"/>
        <v>0</v>
      </c>
      <c r="Y58" s="162">
        <f t="shared" si="31"/>
        <v>0</v>
      </c>
      <c r="Z58" s="162">
        <f t="shared" si="31"/>
        <v>2087</v>
      </c>
      <c r="AA58" s="162">
        <f t="shared" si="31"/>
        <v>0</v>
      </c>
      <c r="AB58" s="162">
        <f t="shared" si="31"/>
        <v>0</v>
      </c>
      <c r="AC58" s="162"/>
      <c r="AD58" s="162">
        <f t="shared" si="31"/>
        <v>0</v>
      </c>
      <c r="AE58" s="162"/>
      <c r="AF58" s="162">
        <f t="shared" si="31"/>
        <v>0</v>
      </c>
      <c r="AG58" s="162"/>
      <c r="AH58" s="162">
        <f t="shared" si="31"/>
        <v>0</v>
      </c>
      <c r="AI58" s="162"/>
    </row>
    <row r="59" spans="1:35" ht="20.25" thickBot="1" x14ac:dyDescent="0.45">
      <c r="O59" s="72"/>
      <c r="P59" s="72"/>
      <c r="Q59" s="72"/>
      <c r="R59" s="72"/>
      <c r="T59" s="289"/>
      <c r="U59" s="289"/>
      <c r="V59" s="289"/>
      <c r="W59" s="289"/>
      <c r="X59" s="289"/>
      <c r="Y59" s="289"/>
      <c r="Z59" s="289"/>
      <c r="AA59" s="289"/>
      <c r="AB59" s="289"/>
      <c r="AC59" s="289"/>
      <c r="AD59" s="289"/>
      <c r="AF59" s="289"/>
      <c r="AH59" s="289"/>
    </row>
    <row r="60" spans="1:35" s="53" customFormat="1" ht="19.5" x14ac:dyDescent="0.4">
      <c r="A60" s="16" t="s">
        <v>106</v>
      </c>
      <c r="B60" s="11"/>
      <c r="C60" s="11"/>
      <c r="D60" s="11"/>
      <c r="E60" s="11"/>
      <c r="F60" s="10"/>
      <c r="G60" s="9"/>
      <c r="H60" s="9"/>
      <c r="I60" s="9"/>
      <c r="J60" s="9"/>
      <c r="K60" s="9"/>
      <c r="L60" s="9"/>
      <c r="M60" s="8"/>
      <c r="N60" s="7"/>
      <c r="O60" s="72"/>
      <c r="P60" s="72"/>
      <c r="Q60" s="72"/>
      <c r="R60" s="72"/>
      <c r="T60" s="289"/>
      <c r="U60" s="289"/>
      <c r="V60" s="289"/>
      <c r="W60" s="289"/>
      <c r="X60" s="289"/>
      <c r="Y60" s="289"/>
      <c r="Z60" s="289"/>
      <c r="AA60" s="289"/>
      <c r="AB60" s="289"/>
      <c r="AC60" s="289"/>
      <c r="AD60" s="289"/>
      <c r="AF60" s="289"/>
      <c r="AH60" s="289"/>
    </row>
    <row r="61" spans="1:35" ht="19.5" x14ac:dyDescent="0.4">
      <c r="A61" s="49" t="s">
        <v>107</v>
      </c>
      <c r="B61" s="57"/>
      <c r="C61" s="57"/>
      <c r="D61" s="57"/>
      <c r="E61" s="57"/>
      <c r="F61" s="51"/>
      <c r="G61" s="15"/>
      <c r="H61" s="15"/>
      <c r="I61" s="15"/>
      <c r="J61" s="15"/>
      <c r="K61" s="15"/>
      <c r="L61" s="15"/>
      <c r="M61" s="14"/>
      <c r="N61" s="13"/>
      <c r="O61" s="73"/>
      <c r="P61" s="73"/>
      <c r="Q61" s="73"/>
      <c r="R61" s="73"/>
      <c r="T61" s="289"/>
      <c r="U61" s="289"/>
      <c r="V61" s="289"/>
      <c r="W61" s="289"/>
      <c r="X61" s="289"/>
      <c r="Y61" s="289"/>
      <c r="Z61" s="289"/>
      <c r="AA61" s="289"/>
      <c r="AB61" s="289"/>
      <c r="AC61" s="289"/>
      <c r="AD61" s="289"/>
      <c r="AF61" s="289"/>
      <c r="AH61" s="289"/>
    </row>
    <row r="62" spans="1:35" ht="36.75" x14ac:dyDescent="0.4">
      <c r="A62" s="43" t="s">
        <v>90</v>
      </c>
      <c r="B62" s="44"/>
      <c r="C62" s="45"/>
      <c r="D62" s="45"/>
      <c r="E62" s="45"/>
      <c r="F62" s="45"/>
      <c r="G62" s="32" t="s">
        <v>39</v>
      </c>
      <c r="H62" s="32" t="s">
        <v>40</v>
      </c>
      <c r="I62" s="32" t="s">
        <v>41</v>
      </c>
      <c r="J62" s="32" t="s">
        <v>42</v>
      </c>
      <c r="K62" s="32" t="s">
        <v>43</v>
      </c>
      <c r="L62" s="32" t="s">
        <v>44</v>
      </c>
      <c r="M62" s="40" t="s">
        <v>45</v>
      </c>
      <c r="N62" s="41" t="s">
        <v>46</v>
      </c>
      <c r="O62" s="71" t="s">
        <v>73</v>
      </c>
      <c r="P62" s="71" t="s">
        <v>74</v>
      </c>
      <c r="Q62" s="71" t="s">
        <v>75</v>
      </c>
      <c r="R62" s="71" t="s">
        <v>76</v>
      </c>
      <c r="T62" s="289"/>
      <c r="U62" s="289"/>
      <c r="V62" s="289"/>
      <c r="W62" s="289"/>
      <c r="X62" s="289"/>
      <c r="Y62" s="289"/>
      <c r="Z62" s="289"/>
      <c r="AA62" s="289"/>
      <c r="AB62" s="289"/>
      <c r="AC62" s="289"/>
      <c r="AD62" s="289"/>
      <c r="AF62" s="289"/>
      <c r="AH62" s="289"/>
    </row>
    <row r="63" spans="1:35" ht="19.5" x14ac:dyDescent="0.4">
      <c r="A63" s="257" t="s">
        <v>108</v>
      </c>
      <c r="B63" s="258"/>
      <c r="C63" s="259"/>
      <c r="D63" s="260"/>
      <c r="E63" s="261"/>
      <c r="F63" s="30"/>
      <c r="G63" s="244">
        <f>0.1129*105000</f>
        <v>11854.5</v>
      </c>
      <c r="H63" s="244">
        <v>8875</v>
      </c>
      <c r="I63" s="153">
        <f t="shared" ref="I63:I80" si="32">G63-H63</f>
        <v>2979.5</v>
      </c>
      <c r="J63" s="282">
        <f>4356</f>
        <v>4356</v>
      </c>
      <c r="K63" s="148">
        <f>9418.89-J63</f>
        <v>5062.8899999999994</v>
      </c>
      <c r="L63" s="153">
        <f>SUM(J63:K63)</f>
        <v>9418.89</v>
      </c>
      <c r="M63" s="31">
        <f>IFERROR(L63/H63,"N/A")</f>
        <v>1.0612833802816901</v>
      </c>
      <c r="N63" s="151">
        <f>Worksheet!N63</f>
        <v>5452.53</v>
      </c>
      <c r="O63" s="72" t="s">
        <v>109</v>
      </c>
      <c r="P63" s="72"/>
      <c r="Q63" s="72"/>
      <c r="R63" s="72"/>
      <c r="T63" s="291"/>
      <c r="U63" s="291"/>
      <c r="V63" s="291">
        <f>2512.6</f>
        <v>2512.6</v>
      </c>
      <c r="W63" s="291"/>
      <c r="X63" s="291"/>
      <c r="Y63" s="291"/>
      <c r="Z63" s="291"/>
      <c r="AA63" s="291"/>
      <c r="AB63" s="291"/>
      <c r="AC63" s="291"/>
      <c r="AD63" s="291"/>
      <c r="AE63" s="286"/>
      <c r="AF63" s="291"/>
      <c r="AG63" s="286"/>
      <c r="AH63" s="291"/>
    </row>
    <row r="64" spans="1:35" ht="19.5" x14ac:dyDescent="0.4">
      <c r="A64" s="262" t="s">
        <v>110</v>
      </c>
      <c r="B64" s="258"/>
      <c r="C64" s="259"/>
      <c r="D64" s="260"/>
      <c r="E64" s="261"/>
      <c r="F64" s="30"/>
      <c r="G64" s="244">
        <f>0.1129*57200</f>
        <v>6457.88</v>
      </c>
      <c r="H64" s="244">
        <v>3635</v>
      </c>
      <c r="I64" s="158">
        <f t="shared" si="32"/>
        <v>2822.88</v>
      </c>
      <c r="J64" s="282">
        <f>1946</f>
        <v>1946</v>
      </c>
      <c r="K64" s="157">
        <f>2214.11-J64</f>
        <v>268.11000000000013</v>
      </c>
      <c r="L64" s="158">
        <f>SUM(J64:K64)</f>
        <v>2214.11</v>
      </c>
      <c r="M64" s="29">
        <f>IFERROR(L64/H64,"N/A")</f>
        <v>0.60910866574965616</v>
      </c>
      <c r="N64" s="151">
        <f>Worksheet!N64</f>
        <v>2942.24</v>
      </c>
      <c r="O64" s="72" t="s">
        <v>109</v>
      </c>
      <c r="P64" s="72"/>
      <c r="Q64" s="72"/>
      <c r="R64" s="72"/>
      <c r="T64" s="291"/>
      <c r="U64" s="291"/>
      <c r="V64" s="291">
        <v>3600</v>
      </c>
      <c r="W64" s="291"/>
      <c r="X64" s="291"/>
      <c r="Y64" s="291"/>
      <c r="Z64" s="291"/>
      <c r="AA64" s="291"/>
      <c r="AB64" s="291"/>
      <c r="AC64" s="291"/>
      <c r="AD64" s="291"/>
      <c r="AE64" s="286"/>
      <c r="AF64" s="291"/>
      <c r="AG64" s="286"/>
      <c r="AH64" s="291"/>
    </row>
    <row r="65" spans="1:34" ht="19.5" x14ac:dyDescent="0.4">
      <c r="A65" s="262" t="s">
        <v>111</v>
      </c>
      <c r="B65" s="258"/>
      <c r="C65" s="259"/>
      <c r="D65" s="260"/>
      <c r="E65" s="261"/>
      <c r="F65" s="30"/>
      <c r="G65" s="253">
        <f>ROUND(1950*0.1926,0)*12</f>
        <v>4512</v>
      </c>
      <c r="H65" s="244">
        <v>2110</v>
      </c>
      <c r="I65" s="153">
        <f t="shared" si="32"/>
        <v>2402</v>
      </c>
      <c r="J65" s="282">
        <f>1171+22+55</f>
        <v>1248</v>
      </c>
      <c r="K65" s="148">
        <f>2027.65+35.22-J65</f>
        <v>814.86999999999989</v>
      </c>
      <c r="L65" s="153">
        <f t="shared" ref="L65:L75" si="33">SUM(J65:K65)</f>
        <v>2062.87</v>
      </c>
      <c r="M65" s="31">
        <f t="shared" ref="M65:M80" si="34">IFERROR(L65/H65,"N/A")</f>
        <v>0.97766350710900474</v>
      </c>
      <c r="N65" s="151">
        <f>Worksheet!N65</f>
        <v>1836.1999999999998</v>
      </c>
      <c r="O65" s="72" t="s">
        <v>109</v>
      </c>
      <c r="P65" s="72"/>
      <c r="Q65" s="72"/>
      <c r="R65" s="72"/>
      <c r="T65" s="291"/>
      <c r="U65" s="291"/>
      <c r="V65" s="291">
        <f>1612.18+13.47+115.91+261.3</f>
        <v>2002.8600000000001</v>
      </c>
      <c r="W65" s="291"/>
      <c r="X65" s="291"/>
      <c r="Y65" s="291"/>
      <c r="Z65" s="291"/>
      <c r="AA65" s="291"/>
      <c r="AB65" s="291"/>
      <c r="AC65" s="291"/>
      <c r="AD65" s="291"/>
      <c r="AE65" s="286"/>
      <c r="AF65" s="291"/>
      <c r="AG65" s="286"/>
      <c r="AH65" s="291"/>
    </row>
    <row r="66" spans="1:34" ht="38.25" x14ac:dyDescent="0.4">
      <c r="A66" s="262" t="s">
        <v>112</v>
      </c>
      <c r="B66" s="258"/>
      <c r="C66" s="259"/>
      <c r="D66" s="260"/>
      <c r="E66" s="261"/>
      <c r="F66" s="30"/>
      <c r="G66" s="253">
        <f>2000*0.625</f>
        <v>1250</v>
      </c>
      <c r="H66" s="244">
        <v>1250</v>
      </c>
      <c r="I66" s="153">
        <f t="shared" si="32"/>
        <v>0</v>
      </c>
      <c r="J66" s="282">
        <f>820</f>
        <v>820</v>
      </c>
      <c r="K66" s="148">
        <f>621.33-J66</f>
        <v>-198.66999999999996</v>
      </c>
      <c r="L66" s="153">
        <f t="shared" si="33"/>
        <v>621.33000000000004</v>
      </c>
      <c r="M66" s="31">
        <f t="shared" si="34"/>
        <v>0.49706400000000001</v>
      </c>
      <c r="N66" s="151">
        <f>Worksheet!N66</f>
        <v>1722.97</v>
      </c>
      <c r="O66" s="72" t="s">
        <v>113</v>
      </c>
      <c r="P66" s="72"/>
      <c r="Q66" s="72"/>
      <c r="R66" s="72"/>
      <c r="T66" s="291"/>
      <c r="U66" s="291"/>
      <c r="V66" s="291">
        <v>1525</v>
      </c>
      <c r="W66" s="291"/>
      <c r="X66" s="291">
        <f>334.23</f>
        <v>334.23</v>
      </c>
      <c r="Y66" s="291"/>
      <c r="Z66" s="291"/>
      <c r="AA66" s="291"/>
      <c r="AB66" s="291"/>
      <c r="AC66" s="291"/>
      <c r="AD66" s="291"/>
      <c r="AE66" s="286"/>
      <c r="AF66" s="291"/>
      <c r="AG66" s="286"/>
      <c r="AH66" s="291"/>
    </row>
    <row r="67" spans="1:34" ht="19.5" x14ac:dyDescent="0.4">
      <c r="A67" s="262" t="s">
        <v>114</v>
      </c>
      <c r="B67" s="258"/>
      <c r="C67" s="259"/>
      <c r="D67" s="260"/>
      <c r="E67" s="261"/>
      <c r="F67" s="30"/>
      <c r="G67" s="253">
        <f>(50*7)*12</f>
        <v>4200</v>
      </c>
      <c r="H67" s="244">
        <v>3600</v>
      </c>
      <c r="I67" s="153">
        <f t="shared" si="32"/>
        <v>600</v>
      </c>
      <c r="J67" s="282">
        <v>1500</v>
      </c>
      <c r="K67" s="148">
        <f>1914.5-J67</f>
        <v>414.5</v>
      </c>
      <c r="L67" s="153">
        <f t="shared" si="33"/>
        <v>1914.5</v>
      </c>
      <c r="M67" s="31">
        <f t="shared" si="34"/>
        <v>0.53180555555555553</v>
      </c>
      <c r="N67" s="151">
        <f>Worksheet!N67</f>
        <v>3098</v>
      </c>
      <c r="O67" s="72" t="s">
        <v>115</v>
      </c>
      <c r="P67" s="72"/>
      <c r="Q67" s="72"/>
      <c r="R67" s="72"/>
      <c r="T67" s="291"/>
      <c r="U67" s="291"/>
      <c r="V67" s="291">
        <v>2518</v>
      </c>
      <c r="W67" s="291"/>
      <c r="X67" s="291"/>
      <c r="Y67" s="291"/>
      <c r="Z67" s="291">
        <v>3160</v>
      </c>
      <c r="AA67" s="291"/>
      <c r="AB67" s="291"/>
      <c r="AC67" s="291"/>
      <c r="AD67" s="291"/>
      <c r="AE67" s="286"/>
      <c r="AF67" s="291"/>
      <c r="AG67" s="286"/>
      <c r="AH67" s="291"/>
    </row>
    <row r="68" spans="1:34" ht="19.5" x14ac:dyDescent="0.4">
      <c r="A68" s="262" t="s">
        <v>116</v>
      </c>
      <c r="B68" s="258"/>
      <c r="C68" s="259"/>
      <c r="D68" s="260"/>
      <c r="E68" s="261"/>
      <c r="F68" s="30"/>
      <c r="G68" s="253">
        <f>4500*12</f>
        <v>54000</v>
      </c>
      <c r="H68" s="253">
        <v>0</v>
      </c>
      <c r="I68" s="164">
        <f t="shared" si="32"/>
        <v>54000</v>
      </c>
      <c r="J68" s="283">
        <v>0</v>
      </c>
      <c r="K68" s="163">
        <f>0</f>
        <v>0</v>
      </c>
      <c r="L68" s="158">
        <f t="shared" si="33"/>
        <v>0</v>
      </c>
      <c r="M68" s="29" t="str">
        <f t="shared" si="34"/>
        <v>N/A</v>
      </c>
      <c r="N68" s="151">
        <f>Worksheet!N68</f>
        <v>29587.960000000003</v>
      </c>
      <c r="O68" s="72"/>
      <c r="P68" s="72"/>
      <c r="Q68" s="72"/>
      <c r="R68" s="72"/>
      <c r="T68" s="291"/>
      <c r="U68" s="291"/>
      <c r="V68" s="291">
        <f>56688+120+3787.5</f>
        <v>60595.5</v>
      </c>
      <c r="W68" s="291"/>
      <c r="X68" s="291">
        <f>3818.11+10736.72+5203.07</f>
        <v>19757.900000000001</v>
      </c>
      <c r="Y68" s="291"/>
      <c r="Z68" s="291">
        <f>8480+505+3172.53+675.36+100+590.52+1089.4+4084.74+1069.75</f>
        <v>19767.300000000003</v>
      </c>
      <c r="AA68" s="291"/>
      <c r="AB68" s="291"/>
      <c r="AC68" s="291"/>
      <c r="AD68" s="291"/>
      <c r="AE68" s="286"/>
      <c r="AF68" s="291"/>
      <c r="AG68" s="286"/>
      <c r="AH68" s="291"/>
    </row>
    <row r="69" spans="1:34" ht="19.5" x14ac:dyDescent="0.4">
      <c r="A69" s="262" t="s">
        <v>117</v>
      </c>
      <c r="B69" s="258"/>
      <c r="C69" s="259"/>
      <c r="D69" s="260"/>
      <c r="E69" s="261"/>
      <c r="F69" s="30"/>
      <c r="G69" s="253">
        <v>360</v>
      </c>
      <c r="H69" s="253">
        <v>0</v>
      </c>
      <c r="I69" s="164">
        <f t="shared" si="32"/>
        <v>360</v>
      </c>
      <c r="J69" s="283">
        <v>0</v>
      </c>
      <c r="K69" s="163">
        <f>0</f>
        <v>0</v>
      </c>
      <c r="L69" s="158">
        <f t="shared" si="33"/>
        <v>0</v>
      </c>
      <c r="M69" s="29" t="str">
        <f t="shared" si="34"/>
        <v>N/A</v>
      </c>
      <c r="N69" s="151">
        <f>Worksheet!N69</f>
        <v>793.8</v>
      </c>
      <c r="O69" s="72"/>
      <c r="P69" s="72"/>
      <c r="Q69" s="72"/>
      <c r="R69" s="72"/>
      <c r="T69" s="291"/>
      <c r="U69" s="291"/>
      <c r="V69" s="291">
        <v>1431.57</v>
      </c>
      <c r="W69" s="291"/>
      <c r="X69" s="291"/>
      <c r="Y69" s="291"/>
      <c r="Z69" s="291"/>
      <c r="AA69" s="291"/>
      <c r="AB69" s="291"/>
      <c r="AC69" s="291"/>
      <c r="AD69" s="291"/>
      <c r="AE69" s="286"/>
      <c r="AF69" s="291"/>
      <c r="AG69" s="286"/>
      <c r="AH69" s="291"/>
    </row>
    <row r="70" spans="1:34" ht="19.5" x14ac:dyDescent="0.4">
      <c r="A70" s="262" t="s">
        <v>118</v>
      </c>
      <c r="B70" s="258"/>
      <c r="C70" s="259"/>
      <c r="D70" s="260"/>
      <c r="E70" s="261"/>
      <c r="F70" s="30"/>
      <c r="G70" s="253">
        <v>240</v>
      </c>
      <c r="H70" s="253">
        <v>0</v>
      </c>
      <c r="I70" s="164">
        <f t="shared" si="32"/>
        <v>240</v>
      </c>
      <c r="J70" s="283">
        <v>0</v>
      </c>
      <c r="K70" s="163">
        <f>0</f>
        <v>0</v>
      </c>
      <c r="L70" s="158">
        <f t="shared" si="33"/>
        <v>0</v>
      </c>
      <c r="M70" s="29" t="str">
        <f t="shared" si="34"/>
        <v>N/A</v>
      </c>
      <c r="N70" s="151">
        <f>Worksheet!N70</f>
        <v>537.27</v>
      </c>
      <c r="O70" s="72"/>
      <c r="P70" s="72"/>
      <c r="Q70" s="72"/>
      <c r="R70" s="72"/>
      <c r="T70" s="291"/>
      <c r="U70" s="291"/>
      <c r="V70" s="291">
        <v>68.430000000000007</v>
      </c>
      <c r="W70" s="291"/>
      <c r="X70" s="291"/>
      <c r="Y70" s="291"/>
      <c r="Z70" s="291"/>
      <c r="AA70" s="291"/>
      <c r="AB70" s="291"/>
      <c r="AC70" s="291"/>
      <c r="AD70" s="291"/>
      <c r="AE70" s="286"/>
      <c r="AF70" s="291"/>
      <c r="AG70" s="286"/>
      <c r="AH70" s="291"/>
    </row>
    <row r="71" spans="1:34" ht="19.5" x14ac:dyDescent="0.4">
      <c r="A71" s="262" t="s">
        <v>119</v>
      </c>
      <c r="B71" s="258"/>
      <c r="C71" s="259"/>
      <c r="D71" s="260"/>
      <c r="E71" s="261"/>
      <c r="F71" s="30"/>
      <c r="G71" s="253">
        <f>(53.39*7)*12</f>
        <v>4484.76</v>
      </c>
      <c r="H71" s="253">
        <v>3470</v>
      </c>
      <c r="I71" s="164">
        <f t="shared" si="32"/>
        <v>1014.7600000000002</v>
      </c>
      <c r="J71" s="283">
        <v>1460</v>
      </c>
      <c r="K71" s="163">
        <f>2031.63-J71</f>
        <v>571.63000000000011</v>
      </c>
      <c r="L71" s="158">
        <f t="shared" si="33"/>
        <v>2031.63</v>
      </c>
      <c r="M71" s="29">
        <f t="shared" si="34"/>
        <v>0.5854841498559078</v>
      </c>
      <c r="N71" s="151">
        <f>Worksheet!N71</f>
        <v>3510.7499999999995</v>
      </c>
      <c r="O71" s="72"/>
      <c r="P71" s="72"/>
      <c r="Q71" s="72"/>
      <c r="R71" s="72"/>
      <c r="T71" s="291"/>
      <c r="U71" s="291"/>
      <c r="V71" s="291">
        <v>4803.54</v>
      </c>
      <c r="W71" s="291"/>
      <c r="X71" s="291"/>
      <c r="Y71" s="291"/>
      <c r="Z71" s="291">
        <v>1000</v>
      </c>
      <c r="AA71" s="291"/>
      <c r="AB71" s="291"/>
      <c r="AC71" s="291"/>
      <c r="AD71" s="291"/>
      <c r="AE71" s="286"/>
      <c r="AF71" s="291"/>
      <c r="AG71" s="286"/>
      <c r="AH71" s="291"/>
    </row>
    <row r="72" spans="1:34" ht="19.5" x14ac:dyDescent="0.4">
      <c r="A72" s="262" t="s">
        <v>120</v>
      </c>
      <c r="B72" s="258"/>
      <c r="C72" s="259"/>
      <c r="D72" s="260"/>
      <c r="E72" s="261"/>
      <c r="F72" s="30"/>
      <c r="G72" s="253">
        <v>300</v>
      </c>
      <c r="H72" s="253">
        <v>950</v>
      </c>
      <c r="I72" s="164">
        <f t="shared" si="32"/>
        <v>-650</v>
      </c>
      <c r="J72" s="283">
        <f>579</f>
        <v>579</v>
      </c>
      <c r="K72" s="163">
        <f>1225.47-J72</f>
        <v>646.47</v>
      </c>
      <c r="L72" s="158">
        <f t="shared" si="33"/>
        <v>1225.47</v>
      </c>
      <c r="M72" s="29">
        <f t="shared" si="34"/>
        <v>1.2899684210526317</v>
      </c>
      <c r="N72" s="151">
        <f>Worksheet!N72</f>
        <v>646.41</v>
      </c>
      <c r="O72" s="72"/>
      <c r="P72" s="72"/>
      <c r="Q72" s="72"/>
      <c r="R72" s="72"/>
      <c r="T72" s="291"/>
      <c r="U72" s="291"/>
      <c r="V72" s="291">
        <v>100</v>
      </c>
      <c r="W72" s="291"/>
      <c r="X72" s="291"/>
      <c r="Y72" s="291"/>
      <c r="Z72" s="291"/>
      <c r="AA72" s="291"/>
      <c r="AB72" s="291"/>
      <c r="AC72" s="291"/>
      <c r="AD72" s="291"/>
      <c r="AE72" s="286"/>
      <c r="AF72" s="291"/>
      <c r="AG72" s="286"/>
      <c r="AH72" s="291"/>
    </row>
    <row r="73" spans="1:34" ht="63.75" x14ac:dyDescent="0.4">
      <c r="A73" s="262" t="s">
        <v>121</v>
      </c>
      <c r="B73" s="258"/>
      <c r="C73" s="259"/>
      <c r="D73" s="260"/>
      <c r="E73" s="261"/>
      <c r="F73" s="30"/>
      <c r="G73" s="253">
        <v>300</v>
      </c>
      <c r="H73" s="253">
        <v>3000</v>
      </c>
      <c r="I73" s="164">
        <f t="shared" si="32"/>
        <v>-2700</v>
      </c>
      <c r="J73" s="283">
        <f>2626</f>
        <v>2626</v>
      </c>
      <c r="K73" s="163">
        <f>2875.09+154.91-J73</f>
        <v>404</v>
      </c>
      <c r="L73" s="158">
        <f t="shared" si="33"/>
        <v>3030</v>
      </c>
      <c r="M73" s="29">
        <f t="shared" si="34"/>
        <v>1.01</v>
      </c>
      <c r="N73" s="151">
        <f>Worksheet!N73</f>
        <v>3125.81</v>
      </c>
      <c r="O73" s="72" t="s">
        <v>122</v>
      </c>
      <c r="P73" s="72"/>
      <c r="Q73" s="72"/>
      <c r="R73" s="72"/>
      <c r="T73" s="291"/>
      <c r="U73" s="291"/>
      <c r="V73" s="291">
        <v>2126.23</v>
      </c>
      <c r="W73" s="291"/>
      <c r="X73" s="291"/>
      <c r="Y73" s="291"/>
      <c r="Z73" s="291"/>
      <c r="AA73" s="291"/>
      <c r="AB73" s="291"/>
      <c r="AC73" s="291"/>
      <c r="AD73" s="291"/>
      <c r="AE73" s="286"/>
      <c r="AF73" s="291"/>
      <c r="AG73" s="286"/>
      <c r="AH73" s="291"/>
    </row>
    <row r="74" spans="1:34" ht="19.5" x14ac:dyDescent="0.4">
      <c r="A74" s="262" t="s">
        <v>123</v>
      </c>
      <c r="B74" s="258"/>
      <c r="C74" s="259"/>
      <c r="D74" s="260"/>
      <c r="E74" s="261"/>
      <c r="F74" s="30"/>
      <c r="G74" s="253">
        <v>1200</v>
      </c>
      <c r="H74" s="244">
        <v>300</v>
      </c>
      <c r="I74" s="153">
        <f t="shared" si="32"/>
        <v>900</v>
      </c>
      <c r="J74" s="282">
        <v>0</v>
      </c>
      <c r="K74" s="148">
        <f>294-J74</f>
        <v>294</v>
      </c>
      <c r="L74" s="153">
        <f t="shared" si="33"/>
        <v>294</v>
      </c>
      <c r="M74" s="31">
        <f t="shared" si="34"/>
        <v>0.98</v>
      </c>
      <c r="N74" s="151">
        <f>Worksheet!N74</f>
        <v>186.03</v>
      </c>
      <c r="O74" s="72"/>
      <c r="P74" s="72"/>
      <c r="Q74" s="72"/>
      <c r="R74" s="72"/>
      <c r="T74" s="291"/>
      <c r="U74" s="291"/>
      <c r="V74" s="291">
        <v>0</v>
      </c>
      <c r="W74" s="291"/>
      <c r="X74" s="291"/>
      <c r="Y74" s="291"/>
      <c r="Z74" s="291"/>
      <c r="AA74" s="291"/>
      <c r="AB74" s="291"/>
      <c r="AC74" s="291"/>
      <c r="AD74" s="291"/>
      <c r="AE74" s="286"/>
      <c r="AF74" s="291"/>
      <c r="AG74" s="286"/>
      <c r="AH74" s="291"/>
    </row>
    <row r="75" spans="1:34" ht="19.5" x14ac:dyDescent="0.4">
      <c r="A75" s="262" t="s">
        <v>124</v>
      </c>
      <c r="B75" s="258"/>
      <c r="C75" s="259"/>
      <c r="D75" s="260"/>
      <c r="E75" s="261"/>
      <c r="F75" s="30"/>
      <c r="G75" s="268">
        <v>2100</v>
      </c>
      <c r="H75" s="244">
        <v>1500</v>
      </c>
      <c r="I75" s="158">
        <f t="shared" si="32"/>
        <v>600</v>
      </c>
      <c r="J75" s="282">
        <f>809</f>
        <v>809</v>
      </c>
      <c r="K75" s="157">
        <f>1451.84-J75</f>
        <v>642.83999999999992</v>
      </c>
      <c r="L75" s="158">
        <f t="shared" si="33"/>
        <v>1451.84</v>
      </c>
      <c r="M75" s="29">
        <f t="shared" si="34"/>
        <v>0.96789333333333327</v>
      </c>
      <c r="N75" s="151">
        <f>Worksheet!N75</f>
        <v>1004.5</v>
      </c>
      <c r="O75" s="72"/>
      <c r="P75" s="72"/>
      <c r="Q75" s="72"/>
      <c r="R75" s="72"/>
      <c r="T75" s="291"/>
      <c r="U75" s="291"/>
      <c r="V75" s="291">
        <f>601+1</f>
        <v>602</v>
      </c>
      <c r="W75" s="291"/>
      <c r="X75" s="291"/>
      <c r="Y75" s="291"/>
      <c r="Z75" s="291"/>
      <c r="AA75" s="291"/>
      <c r="AB75" s="291"/>
      <c r="AC75" s="291"/>
      <c r="AD75" s="291"/>
      <c r="AE75" s="286"/>
      <c r="AF75" s="291"/>
      <c r="AG75" s="286"/>
      <c r="AH75" s="291"/>
    </row>
    <row r="76" spans="1:34" ht="19.5" x14ac:dyDescent="0.4">
      <c r="A76" s="264" t="s">
        <v>125</v>
      </c>
      <c r="B76" s="258"/>
      <c r="C76" s="259"/>
      <c r="D76" s="260"/>
      <c r="E76" s="261"/>
      <c r="F76" s="30"/>
      <c r="G76" s="253">
        <v>575</v>
      </c>
      <c r="H76" s="244">
        <v>550</v>
      </c>
      <c r="I76" s="153">
        <f t="shared" si="32"/>
        <v>25</v>
      </c>
      <c r="J76" s="282">
        <v>0</v>
      </c>
      <c r="K76" s="148">
        <f>0</f>
        <v>0</v>
      </c>
      <c r="L76" s="153">
        <f t="shared" ref="L76:L80" si="35">SUM(J76:K76)</f>
        <v>0</v>
      </c>
      <c r="M76" s="31">
        <f t="shared" si="34"/>
        <v>0</v>
      </c>
      <c r="N76" s="151">
        <f>Worksheet!N76</f>
        <v>0</v>
      </c>
      <c r="O76" s="72"/>
      <c r="P76" s="72"/>
      <c r="Q76" s="72"/>
      <c r="R76" s="72"/>
      <c r="T76" s="291"/>
      <c r="U76" s="291"/>
      <c r="V76" s="291">
        <v>0</v>
      </c>
      <c r="W76" s="291"/>
      <c r="X76" s="291"/>
      <c r="Y76" s="291"/>
      <c r="Z76" s="291"/>
      <c r="AA76" s="291"/>
      <c r="AB76" s="291"/>
      <c r="AC76" s="291"/>
      <c r="AD76" s="291"/>
      <c r="AE76" s="286"/>
      <c r="AF76" s="291"/>
      <c r="AG76" s="286"/>
      <c r="AH76" s="291"/>
    </row>
    <row r="77" spans="1:34" ht="19.5" x14ac:dyDescent="0.4">
      <c r="A77" s="264" t="s">
        <v>126</v>
      </c>
      <c r="B77" s="258"/>
      <c r="C77" s="259"/>
      <c r="D77" s="260"/>
      <c r="E77" s="261"/>
      <c r="F77" s="30"/>
      <c r="G77" s="253">
        <v>4000</v>
      </c>
      <c r="H77" s="244">
        <v>4000</v>
      </c>
      <c r="I77" s="153">
        <f t="shared" si="32"/>
        <v>0</v>
      </c>
      <c r="J77" s="282">
        <v>788</v>
      </c>
      <c r="K77" s="148">
        <f>1049.52+1500-J77</f>
        <v>1761.52</v>
      </c>
      <c r="L77" s="153">
        <f t="shared" si="35"/>
        <v>2549.52</v>
      </c>
      <c r="M77" s="31">
        <f t="shared" si="34"/>
        <v>0.63737999999999995</v>
      </c>
      <c r="N77" s="151">
        <f>Worksheet!N77</f>
        <v>1142.99</v>
      </c>
      <c r="O77" s="72"/>
      <c r="P77" s="72"/>
      <c r="Q77" s="72"/>
      <c r="R77" s="72"/>
      <c r="T77" s="291"/>
      <c r="U77" s="291"/>
      <c r="V77" s="291">
        <v>0</v>
      </c>
      <c r="W77" s="291"/>
      <c r="X77" s="291"/>
      <c r="Y77" s="291"/>
      <c r="Z77" s="291"/>
      <c r="AA77" s="291"/>
      <c r="AB77" s="291"/>
      <c r="AC77" s="291"/>
      <c r="AD77" s="291"/>
      <c r="AE77" s="286"/>
      <c r="AF77" s="291">
        <v>186.03</v>
      </c>
      <c r="AG77" s="286"/>
      <c r="AH77" s="291"/>
    </row>
    <row r="78" spans="1:34" ht="19.5" x14ac:dyDescent="0.4">
      <c r="A78" s="262" t="s">
        <v>127</v>
      </c>
      <c r="B78" s="258"/>
      <c r="C78" s="265"/>
      <c r="D78" s="266"/>
      <c r="E78" s="267"/>
      <c r="F78" s="30"/>
      <c r="G78" s="253">
        <v>1500</v>
      </c>
      <c r="H78" s="244">
        <v>1100</v>
      </c>
      <c r="I78" s="153">
        <f t="shared" si="32"/>
        <v>400</v>
      </c>
      <c r="J78" s="282">
        <f>1084</f>
        <v>1084</v>
      </c>
      <c r="K78" s="148">
        <f>661.78-J78</f>
        <v>-422.22</v>
      </c>
      <c r="L78" s="153">
        <f t="shared" ref="L78:L79" si="36">SUM(J78:K78)</f>
        <v>661.78</v>
      </c>
      <c r="M78" s="31">
        <f t="shared" si="34"/>
        <v>0.60161818181818183</v>
      </c>
      <c r="N78" s="151">
        <f>Worksheet!N78</f>
        <v>1417.01</v>
      </c>
      <c r="O78" s="72" t="s">
        <v>101</v>
      </c>
      <c r="P78" s="72"/>
      <c r="Q78" s="72"/>
      <c r="R78" s="72"/>
      <c r="T78" s="291"/>
      <c r="U78" s="291"/>
      <c r="V78" s="291">
        <v>1252.5899999999999</v>
      </c>
      <c r="W78" s="291"/>
      <c r="X78" s="291"/>
      <c r="Y78" s="291"/>
      <c r="Z78" s="291"/>
      <c r="AA78" s="291"/>
      <c r="AB78" s="291"/>
      <c r="AC78" s="291"/>
      <c r="AD78" s="291"/>
      <c r="AE78" s="286"/>
      <c r="AF78" s="291"/>
      <c r="AG78" s="286"/>
      <c r="AH78" s="291"/>
    </row>
    <row r="79" spans="1:34" ht="19.5" x14ac:dyDescent="0.4">
      <c r="A79" s="264"/>
      <c r="B79" s="258"/>
      <c r="C79" s="265"/>
      <c r="D79" s="266"/>
      <c r="E79" s="267"/>
      <c r="F79" s="30"/>
      <c r="G79" s="253">
        <v>0</v>
      </c>
      <c r="H79" s="244">
        <v>0</v>
      </c>
      <c r="I79" s="153">
        <f t="shared" si="32"/>
        <v>0</v>
      </c>
      <c r="J79" s="282">
        <v>0</v>
      </c>
      <c r="K79" s="148">
        <v>0</v>
      </c>
      <c r="L79" s="153">
        <f t="shared" si="36"/>
        <v>0</v>
      </c>
      <c r="M79" s="31" t="str">
        <f t="shared" si="34"/>
        <v>N/A</v>
      </c>
      <c r="N79" s="151">
        <f>Worksheet!N79</f>
        <v>0</v>
      </c>
      <c r="O79" s="72"/>
      <c r="P79" s="72"/>
      <c r="Q79" s="72"/>
      <c r="R79" s="72"/>
      <c r="T79" s="291"/>
      <c r="U79" s="291"/>
      <c r="V79" s="291"/>
      <c r="W79" s="291"/>
      <c r="X79" s="291"/>
      <c r="Y79" s="291"/>
      <c r="Z79" s="291"/>
      <c r="AA79" s="291"/>
      <c r="AB79" s="291"/>
      <c r="AC79" s="291"/>
      <c r="AD79" s="291"/>
      <c r="AE79" s="286"/>
      <c r="AF79" s="291"/>
      <c r="AG79" s="286"/>
      <c r="AH79" s="291"/>
    </row>
    <row r="80" spans="1:34" ht="19.5" x14ac:dyDescent="0.4">
      <c r="A80" s="262"/>
      <c r="B80" s="258"/>
      <c r="C80" s="265"/>
      <c r="D80" s="266"/>
      <c r="E80" s="267"/>
      <c r="F80" s="30"/>
      <c r="G80" s="253">
        <v>0</v>
      </c>
      <c r="H80" s="244">
        <v>0</v>
      </c>
      <c r="I80" s="153">
        <f t="shared" si="32"/>
        <v>0</v>
      </c>
      <c r="J80" s="282">
        <v>0</v>
      </c>
      <c r="K80" s="148">
        <v>0</v>
      </c>
      <c r="L80" s="153">
        <f t="shared" si="35"/>
        <v>0</v>
      </c>
      <c r="M80" s="31" t="str">
        <f t="shared" si="34"/>
        <v>N/A</v>
      </c>
      <c r="N80" s="160">
        <v>0</v>
      </c>
      <c r="O80" s="72"/>
      <c r="P80" s="72"/>
      <c r="Q80" s="72"/>
      <c r="R80" s="72"/>
      <c r="T80" s="291"/>
      <c r="U80" s="291"/>
      <c r="V80" s="291"/>
      <c r="W80" s="291"/>
      <c r="X80" s="291"/>
      <c r="Y80" s="291"/>
      <c r="Z80" s="291"/>
      <c r="AA80" s="291"/>
      <c r="AB80" s="291"/>
      <c r="AC80" s="291"/>
      <c r="AD80" s="291"/>
      <c r="AE80" s="286"/>
      <c r="AF80" s="291"/>
      <c r="AG80" s="286"/>
      <c r="AH80" s="291"/>
    </row>
    <row r="81" spans="1:34" ht="13.5" thickBot="1" x14ac:dyDescent="0.25">
      <c r="A81" s="46"/>
      <c r="B81" s="42"/>
      <c r="C81" s="144" t="s">
        <v>128</v>
      </c>
      <c r="D81" s="145"/>
      <c r="E81" s="145"/>
      <c r="F81" s="47"/>
      <c r="G81" s="159">
        <f t="shared" ref="G81:L81" si="37">SUM(G63:G80)</f>
        <v>97334.14</v>
      </c>
      <c r="H81" s="159">
        <f t="shared" si="37"/>
        <v>34340</v>
      </c>
      <c r="I81" s="159">
        <f t="shared" si="37"/>
        <v>62994.140000000007</v>
      </c>
      <c r="J81" s="159">
        <f t="shared" si="37"/>
        <v>17216</v>
      </c>
      <c r="K81" s="159">
        <f t="shared" si="37"/>
        <v>10259.94</v>
      </c>
      <c r="L81" s="159">
        <f t="shared" si="37"/>
        <v>27475.94</v>
      </c>
      <c r="M81" s="48">
        <f>IFERROR(L81/H81,"N/A")</f>
        <v>0.80011473500291197</v>
      </c>
      <c r="N81" s="162">
        <f>SUM(N63:N80)</f>
        <v>57004.47</v>
      </c>
      <c r="O81" s="124"/>
      <c r="P81" s="126"/>
      <c r="Q81" s="124"/>
      <c r="R81" s="126"/>
      <c r="T81" s="162">
        <f t="shared" ref="T81:AH81" si="38">SUM(T63:T80)</f>
        <v>0</v>
      </c>
      <c r="U81" s="162">
        <f t="shared" si="38"/>
        <v>0</v>
      </c>
      <c r="V81" s="162">
        <f t="shared" si="38"/>
        <v>83138.319999999992</v>
      </c>
      <c r="W81" s="162">
        <f t="shared" si="38"/>
        <v>0</v>
      </c>
      <c r="X81" s="162">
        <f t="shared" si="38"/>
        <v>20092.13</v>
      </c>
      <c r="Y81" s="162">
        <f t="shared" si="38"/>
        <v>0</v>
      </c>
      <c r="Z81" s="162">
        <f t="shared" si="38"/>
        <v>23927.300000000003</v>
      </c>
      <c r="AA81" s="162">
        <f t="shared" si="38"/>
        <v>0</v>
      </c>
      <c r="AB81" s="162">
        <f t="shared" si="38"/>
        <v>0</v>
      </c>
      <c r="AC81" s="162"/>
      <c r="AD81" s="162">
        <f t="shared" si="38"/>
        <v>0</v>
      </c>
      <c r="AE81" s="162"/>
      <c r="AF81" s="162">
        <f t="shared" si="38"/>
        <v>186.03</v>
      </c>
      <c r="AG81" s="162"/>
      <c r="AH81" s="162">
        <f t="shared" si="38"/>
        <v>0</v>
      </c>
    </row>
    <row r="82" spans="1:34" ht="20.25" thickBot="1" x14ac:dyDescent="0.45">
      <c r="O82" s="72"/>
      <c r="P82" s="72"/>
      <c r="Q82" s="72"/>
      <c r="R82" s="72"/>
      <c r="T82" s="289"/>
      <c r="U82" s="289"/>
      <c r="V82" s="289"/>
      <c r="W82" s="289"/>
      <c r="X82" s="289"/>
      <c r="Y82" s="289"/>
      <c r="Z82" s="289"/>
      <c r="AA82" s="289"/>
      <c r="AB82" s="289"/>
      <c r="AC82" s="289"/>
      <c r="AD82" s="289"/>
      <c r="AF82" s="289"/>
      <c r="AH82" s="289"/>
    </row>
    <row r="83" spans="1:34" s="53" customFormat="1" ht="19.5" x14ac:dyDescent="0.4">
      <c r="A83" s="12" t="s">
        <v>129</v>
      </c>
      <c r="B83" s="11"/>
      <c r="C83" s="11"/>
      <c r="D83" s="11"/>
      <c r="E83" s="11"/>
      <c r="F83" s="10"/>
      <c r="G83" s="9"/>
      <c r="H83" s="9"/>
      <c r="I83" s="9"/>
      <c r="J83" s="9"/>
      <c r="K83" s="9"/>
      <c r="L83" s="9"/>
      <c r="M83" s="8"/>
      <c r="N83" s="7"/>
      <c r="O83" s="72"/>
      <c r="P83" s="72"/>
      <c r="Q83" s="72"/>
      <c r="R83" s="72"/>
      <c r="T83" s="289"/>
      <c r="U83" s="289"/>
      <c r="V83" s="289"/>
      <c r="W83" s="289"/>
      <c r="X83" s="289"/>
      <c r="Y83" s="289"/>
      <c r="Z83" s="289"/>
      <c r="AA83" s="289"/>
      <c r="AB83" s="289"/>
      <c r="AC83" s="289"/>
      <c r="AD83" s="289"/>
      <c r="AF83" s="289"/>
      <c r="AH83" s="289"/>
    </row>
    <row r="84" spans="1:34" ht="19.5" x14ac:dyDescent="0.4">
      <c r="A84" s="49" t="s">
        <v>130</v>
      </c>
      <c r="B84" s="57"/>
      <c r="C84" s="57"/>
      <c r="D84" s="57"/>
      <c r="E84" s="57"/>
      <c r="F84" s="51"/>
      <c r="G84" s="15"/>
      <c r="H84" s="15"/>
      <c r="I84" s="15"/>
      <c r="J84" s="15"/>
      <c r="K84" s="15"/>
      <c r="L84" s="15"/>
      <c r="M84" s="14"/>
      <c r="N84" s="13"/>
      <c r="O84" s="73"/>
      <c r="P84" s="73"/>
      <c r="Q84" s="73"/>
      <c r="R84" s="73"/>
      <c r="T84" s="289"/>
      <c r="U84" s="289"/>
      <c r="V84" s="289"/>
      <c r="W84" s="289"/>
      <c r="X84" s="289"/>
      <c r="Y84" s="289"/>
      <c r="Z84" s="289"/>
      <c r="AA84" s="289"/>
      <c r="AB84" s="289"/>
      <c r="AC84" s="289"/>
      <c r="AD84" s="289"/>
      <c r="AF84" s="289"/>
      <c r="AH84" s="289"/>
    </row>
    <row r="85" spans="1:34" ht="36.75" x14ac:dyDescent="0.4">
      <c r="A85" s="43" t="s">
        <v>90</v>
      </c>
      <c r="B85" s="44"/>
      <c r="C85" s="45"/>
      <c r="D85" s="45"/>
      <c r="E85" s="45"/>
      <c r="F85" s="45"/>
      <c r="G85" s="32" t="s">
        <v>39</v>
      </c>
      <c r="H85" s="32" t="s">
        <v>40</v>
      </c>
      <c r="I85" s="32" t="s">
        <v>41</v>
      </c>
      <c r="J85" s="32" t="s">
        <v>42</v>
      </c>
      <c r="K85" s="32" t="s">
        <v>43</v>
      </c>
      <c r="L85" s="32" t="s">
        <v>44</v>
      </c>
      <c r="M85" s="40" t="s">
        <v>45</v>
      </c>
      <c r="N85" s="41" t="s">
        <v>46</v>
      </c>
      <c r="O85" s="71" t="s">
        <v>73</v>
      </c>
      <c r="P85" s="71" t="s">
        <v>74</v>
      </c>
      <c r="Q85" s="71" t="s">
        <v>75</v>
      </c>
      <c r="R85" s="71" t="s">
        <v>76</v>
      </c>
      <c r="T85" s="289"/>
      <c r="U85" s="289"/>
      <c r="V85" s="289"/>
      <c r="W85" s="289"/>
      <c r="X85" s="289"/>
      <c r="Y85" s="289"/>
      <c r="Z85" s="289"/>
      <c r="AA85" s="289"/>
      <c r="AB85" s="289"/>
      <c r="AC85" s="289"/>
      <c r="AD85" s="289"/>
      <c r="AF85" s="289"/>
      <c r="AH85" s="289"/>
    </row>
    <row r="86" spans="1:34" ht="19.5" x14ac:dyDescent="0.4">
      <c r="A86" s="257"/>
      <c r="B86" s="258"/>
      <c r="C86" s="259"/>
      <c r="D86" s="260"/>
      <c r="E86" s="261"/>
      <c r="F86" s="30"/>
      <c r="G86" s="244">
        <v>0</v>
      </c>
      <c r="H86" s="244">
        <v>0</v>
      </c>
      <c r="I86" s="153">
        <f t="shared" ref="I86:I88" si="39">G86-H86</f>
        <v>0</v>
      </c>
      <c r="J86" s="282">
        <v>0</v>
      </c>
      <c r="K86" s="148">
        <v>0</v>
      </c>
      <c r="L86" s="153">
        <f>SUM(J86:K86)</f>
        <v>0</v>
      </c>
      <c r="M86" s="31" t="str">
        <f>IFERROR(L86/H86,"N/A")</f>
        <v>N/A</v>
      </c>
      <c r="N86" s="151">
        <f>Worksheet!N86</f>
        <v>0</v>
      </c>
      <c r="O86" s="72"/>
      <c r="P86" s="72"/>
      <c r="Q86" s="72"/>
      <c r="R86" s="72"/>
      <c r="T86" s="289"/>
      <c r="U86" s="289"/>
      <c r="V86" s="289"/>
      <c r="W86" s="289"/>
      <c r="X86" s="289"/>
      <c r="Y86" s="289"/>
      <c r="Z86" s="289"/>
      <c r="AA86" s="289"/>
      <c r="AB86" s="289"/>
      <c r="AC86" s="289"/>
      <c r="AD86" s="289"/>
      <c r="AF86" s="289"/>
      <c r="AH86" s="289"/>
    </row>
    <row r="87" spans="1:34" ht="19.5" x14ac:dyDescent="0.4">
      <c r="A87" s="262"/>
      <c r="B87" s="258"/>
      <c r="C87" s="259"/>
      <c r="D87" s="260"/>
      <c r="E87" s="261"/>
      <c r="F87" s="30"/>
      <c r="G87" s="244">
        <v>0</v>
      </c>
      <c r="H87" s="244">
        <v>0</v>
      </c>
      <c r="I87" s="153">
        <f t="shared" si="39"/>
        <v>0</v>
      </c>
      <c r="J87" s="282">
        <v>0</v>
      </c>
      <c r="K87" s="148">
        <v>0</v>
      </c>
      <c r="L87" s="153">
        <f t="shared" ref="L87:L88" si="40">SUM(J87:K87)</f>
        <v>0</v>
      </c>
      <c r="M87" s="31" t="str">
        <f t="shared" ref="M87:M88" si="41">IFERROR(L87/H87,"N/A")</f>
        <v>N/A</v>
      </c>
      <c r="N87" s="151">
        <f>Worksheet!N87</f>
        <v>0</v>
      </c>
      <c r="O87" s="72"/>
      <c r="P87" s="72"/>
      <c r="Q87" s="72"/>
      <c r="R87" s="72"/>
      <c r="T87" s="289"/>
      <c r="U87" s="289"/>
      <c r="V87" s="289"/>
      <c r="W87" s="289"/>
      <c r="X87" s="289"/>
      <c r="Y87" s="289"/>
      <c r="Z87" s="289"/>
      <c r="AA87" s="289"/>
      <c r="AB87" s="289"/>
      <c r="AC87" s="289"/>
      <c r="AD87" s="289"/>
      <c r="AF87" s="289"/>
      <c r="AH87" s="289"/>
    </row>
    <row r="88" spans="1:34" ht="19.5" x14ac:dyDescent="0.4">
      <c r="A88" s="262"/>
      <c r="B88" s="258"/>
      <c r="C88" s="259"/>
      <c r="D88" s="260"/>
      <c r="E88" s="261"/>
      <c r="F88" s="30"/>
      <c r="G88" s="244">
        <v>0</v>
      </c>
      <c r="H88" s="244">
        <v>0</v>
      </c>
      <c r="I88" s="153">
        <f t="shared" si="39"/>
        <v>0</v>
      </c>
      <c r="J88" s="282">
        <v>0</v>
      </c>
      <c r="K88" s="148">
        <v>0</v>
      </c>
      <c r="L88" s="153">
        <f t="shared" si="40"/>
        <v>0</v>
      </c>
      <c r="M88" s="31" t="str">
        <f t="shared" si="41"/>
        <v>N/A</v>
      </c>
      <c r="N88" s="151">
        <f>Worksheet!N88</f>
        <v>0</v>
      </c>
      <c r="O88" s="72"/>
      <c r="P88" s="72"/>
      <c r="Q88" s="72"/>
      <c r="R88" s="72"/>
      <c r="T88" s="289"/>
      <c r="U88" s="289"/>
      <c r="V88" s="289"/>
      <c r="W88" s="289"/>
      <c r="X88" s="289"/>
      <c r="Y88" s="289"/>
      <c r="Z88" s="289"/>
      <c r="AA88" s="289"/>
      <c r="AB88" s="289"/>
      <c r="AC88" s="289"/>
      <c r="AD88" s="289"/>
      <c r="AF88" s="289"/>
      <c r="AH88" s="289"/>
    </row>
    <row r="89" spans="1:34" ht="13.5" thickBot="1" x14ac:dyDescent="0.25">
      <c r="A89" s="46"/>
      <c r="B89" s="42"/>
      <c r="C89" s="144" t="s">
        <v>131</v>
      </c>
      <c r="D89" s="145"/>
      <c r="E89" s="145"/>
      <c r="F89" s="47"/>
      <c r="G89" s="159">
        <f t="shared" ref="G89:L89" si="42">SUM(G86:G88)</f>
        <v>0</v>
      </c>
      <c r="H89" s="159">
        <f t="shared" si="42"/>
        <v>0</v>
      </c>
      <c r="I89" s="159">
        <f t="shared" si="42"/>
        <v>0</v>
      </c>
      <c r="J89" s="159">
        <f t="shared" si="42"/>
        <v>0</v>
      </c>
      <c r="K89" s="159">
        <f t="shared" si="42"/>
        <v>0</v>
      </c>
      <c r="L89" s="159">
        <f t="shared" si="42"/>
        <v>0</v>
      </c>
      <c r="M89" s="48" t="str">
        <f>IFERROR(L89/H89,"N/A")</f>
        <v>N/A</v>
      </c>
      <c r="N89" s="162">
        <f>SUM(N86:N88)</f>
        <v>0</v>
      </c>
      <c r="O89" s="124"/>
      <c r="P89" s="126"/>
      <c r="Q89" s="124"/>
      <c r="R89" s="126"/>
      <c r="T89" s="162">
        <f t="shared" ref="T89:AH89" si="43">SUM(T86:T88)</f>
        <v>0</v>
      </c>
      <c r="U89" s="162">
        <f t="shared" si="43"/>
        <v>0</v>
      </c>
      <c r="V89" s="162">
        <f t="shared" si="43"/>
        <v>0</v>
      </c>
      <c r="W89" s="162">
        <f t="shared" si="43"/>
        <v>0</v>
      </c>
      <c r="X89" s="162">
        <f t="shared" si="43"/>
        <v>0</v>
      </c>
      <c r="Y89" s="162"/>
      <c r="Z89" s="162">
        <f t="shared" si="43"/>
        <v>0</v>
      </c>
      <c r="AA89" s="162"/>
      <c r="AB89" s="162">
        <f t="shared" si="43"/>
        <v>0</v>
      </c>
      <c r="AC89" s="162"/>
      <c r="AD89" s="162">
        <f t="shared" si="43"/>
        <v>0</v>
      </c>
      <c r="AE89" s="162"/>
      <c r="AF89" s="162">
        <f t="shared" si="43"/>
        <v>0</v>
      </c>
      <c r="AG89" s="162"/>
      <c r="AH89" s="162">
        <f t="shared" si="43"/>
        <v>0</v>
      </c>
    </row>
    <row r="90" spans="1:34" ht="20.25" thickBot="1" x14ac:dyDescent="0.45">
      <c r="O90" s="72"/>
      <c r="P90" s="72"/>
      <c r="Q90" s="72"/>
      <c r="R90" s="72"/>
      <c r="T90" s="289"/>
      <c r="U90" s="289"/>
      <c r="V90" s="289"/>
      <c r="W90" s="289"/>
      <c r="X90" s="289"/>
      <c r="Z90" s="289"/>
      <c r="AB90" s="289"/>
      <c r="AD90" s="289"/>
      <c r="AF90" s="289"/>
      <c r="AH90" s="289"/>
    </row>
    <row r="91" spans="1:34" s="53" customFormat="1" ht="19.5" x14ac:dyDescent="0.4">
      <c r="A91" s="12" t="s">
        <v>132</v>
      </c>
      <c r="B91" s="11"/>
      <c r="C91" s="11"/>
      <c r="D91" s="11"/>
      <c r="E91" s="11"/>
      <c r="F91" s="10"/>
      <c r="G91" s="9"/>
      <c r="H91" s="9"/>
      <c r="I91" s="9"/>
      <c r="J91" s="9"/>
      <c r="K91" s="9"/>
      <c r="L91" s="9"/>
      <c r="M91" s="8"/>
      <c r="N91" s="7"/>
      <c r="O91" s="72"/>
      <c r="P91" s="72"/>
      <c r="Q91" s="72"/>
      <c r="R91" s="72"/>
      <c r="T91" s="289"/>
      <c r="U91" s="289"/>
      <c r="V91" s="289"/>
      <c r="W91" s="289"/>
      <c r="X91" s="289"/>
      <c r="Z91" s="289"/>
      <c r="AB91" s="289"/>
      <c r="AD91" s="289"/>
      <c r="AF91" s="289"/>
      <c r="AH91" s="289"/>
    </row>
    <row r="92" spans="1:34" ht="19.5" x14ac:dyDescent="0.4">
      <c r="A92" s="49" t="s">
        <v>133</v>
      </c>
      <c r="B92" s="57"/>
      <c r="C92" s="57"/>
      <c r="D92" s="57"/>
      <c r="E92" s="57"/>
      <c r="F92" s="51"/>
      <c r="G92" s="15"/>
      <c r="H92" s="15"/>
      <c r="I92" s="15"/>
      <c r="J92" s="15"/>
      <c r="K92" s="15"/>
      <c r="L92" s="15"/>
      <c r="M92" s="14"/>
      <c r="N92" s="13"/>
      <c r="O92" s="73"/>
      <c r="P92" s="73"/>
      <c r="Q92" s="73"/>
      <c r="R92" s="73"/>
      <c r="T92" s="289"/>
      <c r="U92" s="289"/>
      <c r="V92" s="289"/>
      <c r="W92" s="289"/>
      <c r="X92" s="289"/>
      <c r="Z92" s="289"/>
      <c r="AB92" s="289"/>
      <c r="AD92" s="289"/>
      <c r="AF92" s="289"/>
      <c r="AH92" s="289"/>
    </row>
    <row r="93" spans="1:34" ht="36.75" x14ac:dyDescent="0.4">
      <c r="A93" s="43" t="s">
        <v>90</v>
      </c>
      <c r="B93" s="44"/>
      <c r="C93" s="45"/>
      <c r="D93" s="45"/>
      <c r="E93" s="45"/>
      <c r="F93" s="45"/>
      <c r="G93" s="32" t="s">
        <v>39</v>
      </c>
      <c r="H93" s="32" t="s">
        <v>40</v>
      </c>
      <c r="I93" s="32" t="s">
        <v>41</v>
      </c>
      <c r="J93" s="32" t="s">
        <v>42</v>
      </c>
      <c r="K93" s="32" t="s">
        <v>43</v>
      </c>
      <c r="L93" s="32" t="s">
        <v>44</v>
      </c>
      <c r="M93" s="40" t="s">
        <v>45</v>
      </c>
      <c r="N93" s="41" t="s">
        <v>46</v>
      </c>
      <c r="O93" s="71" t="s">
        <v>73</v>
      </c>
      <c r="P93" s="71" t="s">
        <v>74</v>
      </c>
      <c r="Q93" s="71" t="s">
        <v>75</v>
      </c>
      <c r="R93" s="71" t="s">
        <v>76</v>
      </c>
      <c r="T93" s="289"/>
      <c r="U93" s="289"/>
      <c r="V93" s="289"/>
      <c r="W93" s="289"/>
      <c r="X93" s="289"/>
      <c r="Z93" s="289"/>
      <c r="AB93" s="289"/>
      <c r="AD93" s="289"/>
      <c r="AF93" s="289"/>
      <c r="AH93" s="289"/>
    </row>
    <row r="94" spans="1:34" ht="19.5" x14ac:dyDescent="0.4">
      <c r="A94" s="257"/>
      <c r="B94" s="258"/>
      <c r="C94" s="259"/>
      <c r="D94" s="260"/>
      <c r="E94" s="261"/>
      <c r="F94" s="30"/>
      <c r="G94" s="244">
        <v>0</v>
      </c>
      <c r="H94" s="244">
        <v>0</v>
      </c>
      <c r="I94" s="153">
        <f t="shared" ref="I94:I96" si="44">G94-H94</f>
        <v>0</v>
      </c>
      <c r="J94" s="282">
        <v>0</v>
      </c>
      <c r="K94" s="148">
        <v>0</v>
      </c>
      <c r="L94" s="153">
        <f>SUM(J94:K94)</f>
        <v>0</v>
      </c>
      <c r="M94" s="31" t="str">
        <f>IFERROR(L94/H94,"N/A")</f>
        <v>N/A</v>
      </c>
      <c r="N94" s="151">
        <f>Worksheet!N94</f>
        <v>0</v>
      </c>
      <c r="O94" s="72"/>
      <c r="P94" s="72"/>
      <c r="Q94" s="72"/>
      <c r="R94" s="72"/>
      <c r="T94" s="289"/>
      <c r="U94" s="289"/>
      <c r="V94" s="289"/>
      <c r="W94" s="289"/>
      <c r="X94" s="289"/>
      <c r="Z94" s="289"/>
      <c r="AB94" s="289"/>
      <c r="AD94" s="289"/>
      <c r="AF94" s="289"/>
      <c r="AH94" s="289"/>
    </row>
    <row r="95" spans="1:34" ht="19.5" x14ac:dyDescent="0.4">
      <c r="A95" s="262"/>
      <c r="B95" s="258"/>
      <c r="C95" s="259"/>
      <c r="D95" s="260"/>
      <c r="E95" s="261"/>
      <c r="F95" s="30"/>
      <c r="G95" s="244">
        <v>0</v>
      </c>
      <c r="H95" s="244">
        <v>0</v>
      </c>
      <c r="I95" s="153">
        <f t="shared" si="44"/>
        <v>0</v>
      </c>
      <c r="J95" s="282">
        <v>0</v>
      </c>
      <c r="K95" s="148">
        <v>0</v>
      </c>
      <c r="L95" s="153">
        <f t="shared" ref="L95:L96" si="45">SUM(J95:K95)</f>
        <v>0</v>
      </c>
      <c r="M95" s="31" t="str">
        <f t="shared" ref="M95:M96" si="46">IFERROR(L95/H95,"N/A")</f>
        <v>N/A</v>
      </c>
      <c r="N95" s="151">
        <f>Worksheet!N95</f>
        <v>0</v>
      </c>
      <c r="O95" s="72"/>
      <c r="P95" s="72"/>
      <c r="Q95" s="72"/>
      <c r="R95" s="72"/>
      <c r="T95" s="289"/>
      <c r="U95" s="289"/>
      <c r="V95" s="289"/>
      <c r="W95" s="289"/>
      <c r="X95" s="289"/>
      <c r="Z95" s="289"/>
      <c r="AB95" s="289"/>
      <c r="AD95" s="289"/>
      <c r="AF95" s="289"/>
      <c r="AH95" s="289"/>
    </row>
    <row r="96" spans="1:34" ht="19.5" x14ac:dyDescent="0.4">
      <c r="A96" s="262"/>
      <c r="B96" s="258"/>
      <c r="C96" s="259"/>
      <c r="D96" s="260"/>
      <c r="E96" s="261"/>
      <c r="F96" s="30"/>
      <c r="G96" s="244">
        <v>0</v>
      </c>
      <c r="H96" s="244">
        <v>0</v>
      </c>
      <c r="I96" s="153">
        <f t="shared" si="44"/>
        <v>0</v>
      </c>
      <c r="J96" s="282">
        <v>0</v>
      </c>
      <c r="K96" s="148">
        <v>0</v>
      </c>
      <c r="L96" s="153">
        <f t="shared" si="45"/>
        <v>0</v>
      </c>
      <c r="M96" s="31" t="str">
        <f t="shared" si="46"/>
        <v>N/A</v>
      </c>
      <c r="N96" s="151">
        <f>Worksheet!N96</f>
        <v>0</v>
      </c>
      <c r="O96" s="72"/>
      <c r="P96" s="72"/>
      <c r="Q96" s="72"/>
      <c r="R96" s="72"/>
      <c r="T96" s="289"/>
      <c r="U96" s="289"/>
      <c r="V96" s="289"/>
      <c r="W96" s="289"/>
      <c r="X96" s="289"/>
      <c r="Z96" s="289"/>
      <c r="AB96" s="289"/>
      <c r="AD96" s="289"/>
      <c r="AF96" s="289"/>
      <c r="AH96" s="289"/>
    </row>
    <row r="97" spans="1:34" ht="13.5" thickBot="1" x14ac:dyDescent="0.25">
      <c r="A97" s="46"/>
      <c r="B97" s="42"/>
      <c r="C97" s="144" t="s">
        <v>134</v>
      </c>
      <c r="D97" s="145"/>
      <c r="E97" s="145"/>
      <c r="F97" s="47"/>
      <c r="G97" s="159">
        <f t="shared" ref="G97:L97" si="47">SUM(G94:G96)</f>
        <v>0</v>
      </c>
      <c r="H97" s="159">
        <f t="shared" si="47"/>
        <v>0</v>
      </c>
      <c r="I97" s="159">
        <f t="shared" si="47"/>
        <v>0</v>
      </c>
      <c r="J97" s="159">
        <f t="shared" si="47"/>
        <v>0</v>
      </c>
      <c r="K97" s="159">
        <f t="shared" si="47"/>
        <v>0</v>
      </c>
      <c r="L97" s="159">
        <f t="shared" si="47"/>
        <v>0</v>
      </c>
      <c r="M97" s="48" t="str">
        <f>IFERROR(L97/H97,"N/A")</f>
        <v>N/A</v>
      </c>
      <c r="N97" s="162">
        <f>SUM(N94:N96)</f>
        <v>0</v>
      </c>
      <c r="O97" s="124"/>
      <c r="P97" s="126"/>
      <c r="Q97" s="124"/>
      <c r="R97" s="126"/>
      <c r="T97" s="162">
        <f t="shared" ref="T97:AH97" si="48">SUM(T94:T96)</f>
        <v>0</v>
      </c>
      <c r="U97" s="162">
        <f t="shared" si="48"/>
        <v>0</v>
      </c>
      <c r="V97" s="162">
        <f t="shared" si="48"/>
        <v>0</v>
      </c>
      <c r="W97" s="162">
        <f t="shared" si="48"/>
        <v>0</v>
      </c>
      <c r="X97" s="162">
        <f t="shared" si="48"/>
        <v>0</v>
      </c>
      <c r="Y97" s="162"/>
      <c r="Z97" s="162">
        <f t="shared" si="48"/>
        <v>0</v>
      </c>
      <c r="AA97" s="162"/>
      <c r="AB97" s="162">
        <f t="shared" si="48"/>
        <v>0</v>
      </c>
      <c r="AC97" s="162"/>
      <c r="AD97" s="162">
        <f t="shared" si="48"/>
        <v>0</v>
      </c>
      <c r="AE97" s="162"/>
      <c r="AF97" s="162">
        <f t="shared" si="48"/>
        <v>0</v>
      </c>
      <c r="AG97" s="162"/>
      <c r="AH97" s="162">
        <f t="shared" si="48"/>
        <v>0</v>
      </c>
    </row>
    <row r="98" spans="1:34" ht="20.25" thickBot="1" x14ac:dyDescent="0.45">
      <c r="O98" s="72"/>
      <c r="P98" s="72"/>
      <c r="Q98" s="72"/>
      <c r="R98" s="72"/>
      <c r="T98" s="289"/>
      <c r="U98" s="289"/>
      <c r="V98" s="289"/>
      <c r="W98" s="289"/>
      <c r="X98" s="289"/>
      <c r="Z98" s="289"/>
      <c r="AB98" s="289"/>
      <c r="AD98" s="289"/>
      <c r="AF98" s="289"/>
      <c r="AH98" s="289"/>
    </row>
    <row r="99" spans="1:34" s="53" customFormat="1" ht="19.5" x14ac:dyDescent="0.4">
      <c r="A99" s="12" t="s">
        <v>135</v>
      </c>
      <c r="B99" s="11"/>
      <c r="C99" s="11"/>
      <c r="D99" s="11"/>
      <c r="E99" s="11"/>
      <c r="F99" s="10"/>
      <c r="G99" s="9"/>
      <c r="H99" s="9"/>
      <c r="I99" s="9"/>
      <c r="J99" s="9"/>
      <c r="K99" s="9"/>
      <c r="L99" s="9"/>
      <c r="M99" s="8"/>
      <c r="N99" s="7"/>
      <c r="O99" s="72"/>
      <c r="P99" s="72"/>
      <c r="Q99" s="72"/>
      <c r="R99" s="72"/>
      <c r="T99" s="289"/>
      <c r="U99" s="289"/>
      <c r="V99" s="289"/>
      <c r="W99" s="289"/>
      <c r="X99" s="289"/>
      <c r="Z99" s="289"/>
      <c r="AB99" s="289"/>
      <c r="AD99" s="289"/>
      <c r="AF99" s="289"/>
      <c r="AH99" s="289"/>
    </row>
    <row r="100" spans="1:34" s="53" customFormat="1" ht="19.5" x14ac:dyDescent="0.4">
      <c r="A100" s="49" t="s">
        <v>136</v>
      </c>
      <c r="B100" s="50"/>
      <c r="C100" s="50"/>
      <c r="D100" s="50"/>
      <c r="E100" s="50"/>
      <c r="F100" s="51"/>
      <c r="G100" s="51"/>
      <c r="H100" s="51"/>
      <c r="I100" s="51"/>
      <c r="J100" s="51"/>
      <c r="K100" s="51"/>
      <c r="L100" s="51"/>
      <c r="M100" s="121"/>
      <c r="N100" s="52"/>
      <c r="O100" s="73"/>
      <c r="P100" s="73"/>
      <c r="Q100" s="73"/>
      <c r="R100" s="73"/>
      <c r="T100" s="289"/>
      <c r="U100" s="289"/>
      <c r="V100" s="289"/>
      <c r="W100" s="289"/>
      <c r="X100" s="289"/>
      <c r="Z100" s="289"/>
      <c r="AB100" s="289"/>
      <c r="AD100" s="289"/>
      <c r="AF100" s="289"/>
      <c r="AH100" s="289"/>
    </row>
    <row r="101" spans="1:34" s="53" customFormat="1" ht="19.5" x14ac:dyDescent="0.4">
      <c r="A101" s="60" t="s">
        <v>137</v>
      </c>
      <c r="B101" s="50"/>
      <c r="C101" s="50"/>
      <c r="D101" s="50"/>
      <c r="E101" s="50"/>
      <c r="F101" s="51"/>
      <c r="G101" s="51"/>
      <c r="H101" s="51"/>
      <c r="I101" s="51"/>
      <c r="J101" s="51"/>
      <c r="K101" s="51"/>
      <c r="L101" s="51"/>
      <c r="M101" s="121"/>
      <c r="N101" s="52"/>
      <c r="O101" s="73"/>
      <c r="P101" s="73"/>
      <c r="Q101" s="73"/>
      <c r="R101" s="73"/>
      <c r="T101" s="289"/>
      <c r="U101" s="289"/>
      <c r="V101" s="289"/>
      <c r="W101" s="289"/>
      <c r="X101" s="289"/>
      <c r="Z101" s="289"/>
      <c r="AB101" s="289"/>
      <c r="AD101" s="289"/>
      <c r="AF101" s="289"/>
      <c r="AH101" s="289"/>
    </row>
    <row r="102" spans="1:34" s="53" customFormat="1" ht="19.5" x14ac:dyDescent="0.4">
      <c r="A102" s="60" t="s">
        <v>138</v>
      </c>
      <c r="B102" s="50"/>
      <c r="C102" s="50"/>
      <c r="D102" s="50"/>
      <c r="E102" s="50"/>
      <c r="F102" s="50"/>
      <c r="G102" s="54"/>
      <c r="H102" s="54"/>
      <c r="I102" s="54"/>
      <c r="J102" s="54"/>
      <c r="K102" s="54"/>
      <c r="L102" s="54"/>
      <c r="M102" s="55"/>
      <c r="N102" s="56"/>
      <c r="O102" s="73"/>
      <c r="P102" s="73"/>
      <c r="Q102" s="73"/>
      <c r="R102" s="73"/>
      <c r="T102" s="289"/>
      <c r="U102" s="289"/>
      <c r="V102" s="289"/>
      <c r="W102" s="289"/>
      <c r="X102" s="289"/>
      <c r="Z102" s="289"/>
      <c r="AB102" s="289"/>
      <c r="AD102" s="289"/>
      <c r="AF102" s="289"/>
      <c r="AH102" s="289"/>
    </row>
    <row r="103" spans="1:34" ht="37.5" thickBot="1" x14ac:dyDescent="0.45">
      <c r="A103" s="43" t="s">
        <v>90</v>
      </c>
      <c r="B103" s="44"/>
      <c r="C103" s="45"/>
      <c r="D103" s="45"/>
      <c r="E103" s="45"/>
      <c r="F103" s="45"/>
      <c r="G103" s="32" t="s">
        <v>39</v>
      </c>
      <c r="H103" s="32" t="s">
        <v>40</v>
      </c>
      <c r="I103" s="32" t="s">
        <v>41</v>
      </c>
      <c r="J103" s="32" t="s">
        <v>42</v>
      </c>
      <c r="K103" s="32" t="s">
        <v>43</v>
      </c>
      <c r="L103" s="32" t="s">
        <v>44</v>
      </c>
      <c r="M103" s="40" t="s">
        <v>45</v>
      </c>
      <c r="N103" s="41" t="s">
        <v>46</v>
      </c>
      <c r="O103" s="71" t="s">
        <v>73</v>
      </c>
      <c r="P103" s="71" t="s">
        <v>74</v>
      </c>
      <c r="Q103" s="71" t="s">
        <v>75</v>
      </c>
      <c r="R103" s="71" t="s">
        <v>76</v>
      </c>
      <c r="T103" s="289"/>
      <c r="U103" s="289"/>
      <c r="V103" s="289"/>
      <c r="W103" s="289"/>
      <c r="X103" s="289"/>
      <c r="Z103" s="289"/>
      <c r="AB103" s="289"/>
      <c r="AD103" s="289"/>
      <c r="AF103" s="289"/>
      <c r="AH103" s="289"/>
    </row>
    <row r="104" spans="1:34" ht="20.25" thickBot="1" x14ac:dyDescent="0.45">
      <c r="A104" s="269" t="s">
        <v>139</v>
      </c>
      <c r="B104" s="270"/>
      <c r="C104" s="271"/>
      <c r="D104" s="30"/>
      <c r="E104" s="79" t="s">
        <v>140</v>
      </c>
      <c r="F104" s="80">
        <f>IFERROR(H106/H108,"N/A")</f>
        <v>0.10780983821646616</v>
      </c>
      <c r="G104" s="253">
        <f>G36*0.15</f>
        <v>78300</v>
      </c>
      <c r="H104" s="253">
        <v>38208.75</v>
      </c>
      <c r="I104" s="164">
        <f>G104-H104</f>
        <v>40091.25</v>
      </c>
      <c r="J104" s="283">
        <v>19104</v>
      </c>
      <c r="K104" s="163">
        <f>38209-J104</f>
        <v>19105</v>
      </c>
      <c r="L104" s="153">
        <f>SUM(J104:K104)</f>
        <v>38209</v>
      </c>
      <c r="M104" s="31">
        <f>IFERROR(L104/H104,"N/A")</f>
        <v>1.0000065430038931</v>
      </c>
      <c r="N104" s="151">
        <f>Worksheet!N104</f>
        <v>32010</v>
      </c>
      <c r="O104" s="72"/>
      <c r="P104" s="72"/>
      <c r="Q104" s="72"/>
      <c r="R104" s="72"/>
      <c r="T104" s="291"/>
      <c r="U104" s="291"/>
      <c r="V104" s="291">
        <v>14183</v>
      </c>
      <c r="W104" s="291"/>
      <c r="X104" s="291">
        <f>7053.55</f>
        <v>7053.55</v>
      </c>
      <c r="Y104" s="286"/>
      <c r="Z104" s="291">
        <f>11628.17</f>
        <v>11628.17</v>
      </c>
      <c r="AA104" s="286"/>
      <c r="AB104" s="291"/>
      <c r="AC104" s="286"/>
      <c r="AD104" s="291"/>
      <c r="AE104" s="286"/>
      <c r="AF104" s="291"/>
      <c r="AG104" s="286"/>
      <c r="AH104" s="291"/>
    </row>
    <row r="105" spans="1:34" ht="20.25" thickBot="1" x14ac:dyDescent="0.45">
      <c r="A105" s="272"/>
      <c r="B105" s="270"/>
      <c r="C105" s="273"/>
      <c r="D105" s="30"/>
      <c r="E105" s="79" t="s">
        <v>140</v>
      </c>
      <c r="F105" s="80" t="str">
        <f>IFERROR(H107/H109,"N/A")</f>
        <v>N/A</v>
      </c>
      <c r="G105" s="253">
        <v>0</v>
      </c>
      <c r="H105" s="253">
        <v>0</v>
      </c>
      <c r="I105" s="164">
        <f t="shared" ref="I105" si="49">G105-H105</f>
        <v>0</v>
      </c>
      <c r="J105" s="283">
        <v>0</v>
      </c>
      <c r="K105" s="163">
        <v>0</v>
      </c>
      <c r="L105" s="164">
        <f>SUM(J105:K105)</f>
        <v>0</v>
      </c>
      <c r="M105" s="39" t="str">
        <f>IFERROR(L105/H105,"N/A")</f>
        <v>N/A</v>
      </c>
      <c r="N105" s="151">
        <f>Worksheet!N105</f>
        <v>0</v>
      </c>
      <c r="O105" s="72"/>
      <c r="P105" s="72"/>
      <c r="Q105" s="72"/>
      <c r="R105" s="72"/>
      <c r="T105" s="289"/>
      <c r="U105" s="289"/>
      <c r="V105" s="289"/>
      <c r="W105" s="289"/>
      <c r="X105" s="289"/>
      <c r="Z105" s="289"/>
      <c r="AB105" s="289"/>
      <c r="AD105" s="289"/>
      <c r="AF105" s="289"/>
      <c r="AH105" s="289"/>
    </row>
    <row r="106" spans="1:34" ht="13.5" thickBot="1" x14ac:dyDescent="0.25">
      <c r="A106" s="46"/>
      <c r="B106" s="42"/>
      <c r="C106" s="144" t="s">
        <v>141</v>
      </c>
      <c r="D106" s="145"/>
      <c r="E106" s="145"/>
      <c r="F106" s="146"/>
      <c r="G106" s="165">
        <f>SUM(G104:G105)</f>
        <v>78300</v>
      </c>
      <c r="H106" s="165">
        <f>SUM(H104:H105)</f>
        <v>38208.75</v>
      </c>
      <c r="I106" s="165">
        <f>SUM(I104:I105)</f>
        <v>40091.25</v>
      </c>
      <c r="J106" s="165">
        <f t="shared" ref="J106:L106" si="50">SUM(J104:J105)</f>
        <v>19104</v>
      </c>
      <c r="K106" s="165">
        <f t="shared" si="50"/>
        <v>19105</v>
      </c>
      <c r="L106" s="165">
        <f t="shared" si="50"/>
        <v>38209</v>
      </c>
      <c r="M106" s="147">
        <f>IFERROR(L106/H106,"N/A")</f>
        <v>1.0000065430038931</v>
      </c>
      <c r="N106" s="167">
        <f>SUM(N104:N105)</f>
        <v>32010</v>
      </c>
      <c r="O106" s="124"/>
      <c r="P106" s="125"/>
      <c r="Q106" s="124"/>
      <c r="R106" s="125"/>
      <c r="T106" s="167">
        <f t="shared" ref="T106:AH106" si="51">SUM(T104:T105)</f>
        <v>0</v>
      </c>
      <c r="U106" s="167">
        <f t="shared" si="51"/>
        <v>0</v>
      </c>
      <c r="V106" s="167">
        <f t="shared" si="51"/>
        <v>14183</v>
      </c>
      <c r="W106" s="167">
        <f t="shared" si="51"/>
        <v>0</v>
      </c>
      <c r="X106" s="167">
        <f t="shared" si="51"/>
        <v>7053.55</v>
      </c>
      <c r="Y106" s="167"/>
      <c r="Z106" s="167">
        <f t="shared" si="51"/>
        <v>11628.17</v>
      </c>
      <c r="AA106" s="167"/>
      <c r="AB106" s="167">
        <f t="shared" si="51"/>
        <v>0</v>
      </c>
      <c r="AC106" s="167"/>
      <c r="AD106" s="167">
        <f t="shared" si="51"/>
        <v>0</v>
      </c>
      <c r="AE106" s="167"/>
      <c r="AF106" s="167">
        <f t="shared" si="51"/>
        <v>0</v>
      </c>
      <c r="AG106" s="167"/>
      <c r="AH106" s="167">
        <f t="shared" si="51"/>
        <v>0</v>
      </c>
    </row>
    <row r="107" spans="1:34" ht="20.25" thickBot="1" x14ac:dyDescent="0.45">
      <c r="T107" s="289"/>
      <c r="U107" s="289"/>
      <c r="V107" s="289"/>
      <c r="W107" s="289"/>
      <c r="X107" s="289"/>
      <c r="Y107" s="289"/>
      <c r="Z107" s="289"/>
      <c r="AA107" s="289"/>
      <c r="AB107" s="289"/>
      <c r="AC107" s="289"/>
      <c r="AD107" s="289"/>
      <c r="AF107" s="289"/>
      <c r="AH107" s="289"/>
    </row>
    <row r="108" spans="1:34" ht="15.75" thickBot="1" x14ac:dyDescent="0.3">
      <c r="A108" s="6"/>
      <c r="B108" s="4"/>
      <c r="C108" s="5" t="s">
        <v>142</v>
      </c>
      <c r="D108" s="4"/>
      <c r="E108" s="4"/>
      <c r="F108" s="3"/>
      <c r="G108" s="168">
        <f t="shared" ref="G108:L108" si="52">SUM(G106,G97,G89,G81,G58,G48,G36)</f>
        <v>787695.58000000007</v>
      </c>
      <c r="H108" s="168">
        <f t="shared" si="52"/>
        <v>354408.75</v>
      </c>
      <c r="I108" s="168">
        <f t="shared" si="52"/>
        <v>433286.83</v>
      </c>
      <c r="J108" s="168">
        <f t="shared" si="52"/>
        <v>142748</v>
      </c>
      <c r="K108" s="168">
        <f t="shared" si="52"/>
        <v>211661</v>
      </c>
      <c r="L108" s="168">
        <f t="shared" si="52"/>
        <v>354409</v>
      </c>
      <c r="M108" s="2">
        <f>IFERROR(L108/H108,"N/A")</f>
        <v>1.0000007054001911</v>
      </c>
      <c r="N108" s="169">
        <f>SUM(N106,N97,N89,N81,N58,N48,N36)</f>
        <v>696943.14000000013</v>
      </c>
      <c r="T108" s="169">
        <f t="shared" ref="T108:AH108" si="53">SUM(T106,T97,T89,T81,T58,T48,T36)</f>
        <v>67016.7</v>
      </c>
      <c r="U108" s="169">
        <f t="shared" si="53"/>
        <v>0</v>
      </c>
      <c r="V108" s="169">
        <f t="shared" si="53"/>
        <v>180522.31</v>
      </c>
      <c r="W108" s="169">
        <f t="shared" si="53"/>
        <v>0</v>
      </c>
      <c r="X108" s="169">
        <f t="shared" si="53"/>
        <v>82376.12</v>
      </c>
      <c r="Y108" s="169">
        <f t="shared" si="53"/>
        <v>0</v>
      </c>
      <c r="Z108" s="169">
        <f t="shared" si="53"/>
        <v>155057.03</v>
      </c>
      <c r="AA108" s="169">
        <f t="shared" si="53"/>
        <v>0</v>
      </c>
      <c r="AB108" s="169">
        <f t="shared" si="53"/>
        <v>241267.02</v>
      </c>
      <c r="AC108" s="169"/>
      <c r="AD108" s="169">
        <f t="shared" si="53"/>
        <v>27500</v>
      </c>
      <c r="AE108" s="169"/>
      <c r="AF108" s="169">
        <f t="shared" si="53"/>
        <v>50000</v>
      </c>
      <c r="AG108" s="169"/>
      <c r="AH108" s="169">
        <f t="shared" si="53"/>
        <v>532926.59000000008</v>
      </c>
    </row>
    <row r="109" spans="1:34" ht="15" customHeight="1" thickBot="1" x14ac:dyDescent="0.25"/>
    <row r="110" spans="1:34" ht="15" x14ac:dyDescent="0.25">
      <c r="A110" s="180" t="s">
        <v>24</v>
      </c>
      <c r="B110" s="11"/>
      <c r="C110" s="11"/>
      <c r="D110" s="11"/>
      <c r="E110" s="11"/>
      <c r="F110" s="11"/>
      <c r="G110" s="11"/>
      <c r="H110" s="11"/>
      <c r="I110" s="11"/>
      <c r="J110" s="11"/>
      <c r="K110" s="11"/>
      <c r="L110" s="11"/>
      <c r="M110" s="11"/>
      <c r="N110" s="181"/>
    </row>
    <row r="111" spans="1:34" ht="14.25" x14ac:dyDescent="0.2">
      <c r="A111" s="182" t="s">
        <v>143</v>
      </c>
      <c r="B111" s="183"/>
      <c r="C111" s="183"/>
      <c r="D111" s="183"/>
      <c r="E111" s="183"/>
      <c r="F111" s="183"/>
      <c r="G111" s="183"/>
      <c r="H111" s="183"/>
      <c r="I111" s="183"/>
      <c r="J111" s="183"/>
      <c r="K111" s="183"/>
      <c r="L111" s="183"/>
      <c r="M111" s="183"/>
      <c r="N111" s="184"/>
    </row>
    <row r="112" spans="1:34" ht="15" x14ac:dyDescent="0.25">
      <c r="A112" s="182" t="s">
        <v>144</v>
      </c>
      <c r="B112" s="183"/>
      <c r="C112" s="183"/>
      <c r="D112" s="183"/>
      <c r="E112" s="183"/>
      <c r="F112" s="183"/>
      <c r="G112" s="183"/>
      <c r="H112" s="183"/>
      <c r="I112" s="183"/>
      <c r="J112" s="183"/>
      <c r="K112" s="183"/>
      <c r="L112" s="183"/>
      <c r="M112" s="183"/>
      <c r="N112" s="184"/>
    </row>
    <row r="113" spans="1:14" ht="15" x14ac:dyDescent="0.25">
      <c r="A113" s="182" t="s">
        <v>145</v>
      </c>
      <c r="B113" s="183"/>
      <c r="C113" s="183"/>
      <c r="D113" s="183"/>
      <c r="E113" s="183"/>
      <c r="F113" s="183"/>
      <c r="G113" s="183"/>
      <c r="H113" s="183"/>
      <c r="I113" s="183"/>
      <c r="J113" s="183"/>
      <c r="K113" s="183"/>
      <c r="L113" s="183"/>
      <c r="M113" s="183"/>
      <c r="N113" s="184"/>
    </row>
    <row r="114" spans="1:14" ht="45" customHeight="1" x14ac:dyDescent="0.2">
      <c r="A114" s="185" t="s">
        <v>146</v>
      </c>
      <c r="B114" s="186"/>
      <c r="C114" s="186" t="s">
        <v>90</v>
      </c>
      <c r="I114" s="187" t="s">
        <v>147</v>
      </c>
      <c r="J114" s="187" t="s">
        <v>148</v>
      </c>
      <c r="K114" s="187" t="s">
        <v>149</v>
      </c>
      <c r="L114" s="187" t="s">
        <v>150</v>
      </c>
      <c r="M114" s="135" t="s">
        <v>151</v>
      </c>
      <c r="N114" s="188" t="s">
        <v>152</v>
      </c>
    </row>
    <row r="115" spans="1:14" ht="15" customHeight="1" x14ac:dyDescent="0.2">
      <c r="A115" s="189" t="s">
        <v>153</v>
      </c>
      <c r="B115" s="190"/>
      <c r="C115" s="190"/>
      <c r="I115" s="191"/>
      <c r="J115" s="191"/>
      <c r="K115" s="191"/>
      <c r="L115" s="191"/>
      <c r="M115" s="24"/>
      <c r="N115" s="128"/>
    </row>
    <row r="116" spans="1:14" ht="15" customHeight="1" x14ac:dyDescent="0.2">
      <c r="A116" s="274" t="s">
        <v>154</v>
      </c>
      <c r="B116" s="275"/>
      <c r="C116" s="275"/>
      <c r="I116" s="244">
        <f>433287-170000</f>
        <v>263287</v>
      </c>
      <c r="J116" s="284">
        <f>72591+32064.6</f>
        <v>104655.6</v>
      </c>
      <c r="K116" s="157">
        <f>180522.32+82376.12-J116</f>
        <v>158242.84</v>
      </c>
      <c r="L116" s="173">
        <f t="shared" ref="L116:L117" si="54">SUM(J116:K116)</f>
        <v>262898.44</v>
      </c>
      <c r="M116" s="24"/>
      <c r="N116" s="128"/>
    </row>
    <row r="117" spans="1:14" ht="15" customHeight="1" x14ac:dyDescent="0.2">
      <c r="A117" s="274" t="s">
        <v>155</v>
      </c>
      <c r="B117" s="275"/>
      <c r="C117" s="275"/>
      <c r="I117" s="244">
        <v>170000</v>
      </c>
      <c r="J117" s="284">
        <f>72088.76</f>
        <v>72088.759999999995</v>
      </c>
      <c r="K117" s="157">
        <f>155087.03-J117</f>
        <v>82998.27</v>
      </c>
      <c r="L117" s="173">
        <f t="shared" si="54"/>
        <v>155087.03</v>
      </c>
      <c r="M117" s="24"/>
      <c r="N117" s="128"/>
    </row>
    <row r="118" spans="1:14" x14ac:dyDescent="0.2">
      <c r="A118" s="192" t="s">
        <v>156</v>
      </c>
      <c r="B118" s="190"/>
      <c r="I118" s="191"/>
      <c r="J118" s="191"/>
      <c r="K118" s="191"/>
      <c r="L118" s="191"/>
      <c r="M118" s="24"/>
      <c r="N118" s="128"/>
    </row>
    <row r="119" spans="1:14" ht="15" customHeight="1" x14ac:dyDescent="0.2">
      <c r="A119" s="274"/>
      <c r="B119" s="275"/>
      <c r="I119" s="244">
        <v>0</v>
      </c>
      <c r="J119" s="284">
        <v>27500</v>
      </c>
      <c r="K119" s="157">
        <v>0</v>
      </c>
      <c r="L119" s="173">
        <f t="shared" ref="L119:L129" si="55">SUM(J119:K119)</f>
        <v>27500</v>
      </c>
      <c r="M119" s="24"/>
      <c r="N119" s="128"/>
    </row>
    <row r="120" spans="1:14" ht="15" customHeight="1" x14ac:dyDescent="0.2">
      <c r="A120" s="274"/>
      <c r="B120" s="275"/>
      <c r="I120" s="244">
        <v>0</v>
      </c>
      <c r="J120" s="284">
        <v>50000</v>
      </c>
      <c r="K120" s="157">
        <v>0</v>
      </c>
      <c r="L120" s="173">
        <f t="shared" si="55"/>
        <v>50000</v>
      </c>
      <c r="M120" s="24"/>
      <c r="N120" s="128"/>
    </row>
    <row r="121" spans="1:14" x14ac:dyDescent="0.2">
      <c r="A121" s="192" t="s">
        <v>157</v>
      </c>
      <c r="B121" s="190"/>
      <c r="I121" s="191"/>
      <c r="J121" s="191"/>
      <c r="K121" s="191"/>
      <c r="L121" s="191"/>
      <c r="M121" s="24"/>
      <c r="N121" s="128"/>
    </row>
    <row r="122" spans="1:14" ht="15" customHeight="1" x14ac:dyDescent="0.2">
      <c r="A122" s="274"/>
      <c r="B122" s="275"/>
      <c r="I122" s="244">
        <v>0</v>
      </c>
      <c r="J122" s="284">
        <v>0</v>
      </c>
      <c r="K122" s="157"/>
      <c r="L122" s="173">
        <f t="shared" ref="L122:L123" si="56">SUM(J122:K122)</f>
        <v>0</v>
      </c>
      <c r="M122" s="24"/>
      <c r="N122" s="128"/>
    </row>
    <row r="123" spans="1:14" ht="15" customHeight="1" x14ac:dyDescent="0.2">
      <c r="A123" s="274"/>
      <c r="B123" s="275"/>
      <c r="I123" s="244">
        <v>0</v>
      </c>
      <c r="J123" s="284">
        <v>0</v>
      </c>
      <c r="K123" s="157">
        <v>0</v>
      </c>
      <c r="L123" s="173">
        <f t="shared" si="56"/>
        <v>0</v>
      </c>
      <c r="M123" s="24"/>
      <c r="N123" s="128"/>
    </row>
    <row r="124" spans="1:14" x14ac:dyDescent="0.2">
      <c r="A124" s="192" t="s">
        <v>158</v>
      </c>
      <c r="B124" s="190"/>
      <c r="I124" s="191"/>
      <c r="J124" s="191"/>
      <c r="K124" s="191"/>
      <c r="L124" s="191"/>
      <c r="M124" s="62"/>
      <c r="N124" s="129"/>
    </row>
    <row r="125" spans="1:14" ht="15" customHeight="1" x14ac:dyDescent="0.2">
      <c r="A125" s="274"/>
      <c r="B125" s="275"/>
      <c r="I125" s="244">
        <v>0</v>
      </c>
      <c r="J125" s="284">
        <v>0</v>
      </c>
      <c r="K125" s="157">
        <v>0</v>
      </c>
      <c r="L125" s="173">
        <f t="shared" ref="L125:L126" si="57">SUM(J125:K125)</f>
        <v>0</v>
      </c>
      <c r="M125" s="24"/>
      <c r="N125" s="128"/>
    </row>
    <row r="126" spans="1:14" ht="15" customHeight="1" x14ac:dyDescent="0.2">
      <c r="A126" s="274"/>
      <c r="B126" s="275"/>
      <c r="I126" s="244">
        <v>0</v>
      </c>
      <c r="J126" s="284">
        <v>0</v>
      </c>
      <c r="K126" s="157">
        <v>0</v>
      </c>
      <c r="L126" s="173">
        <f t="shared" si="57"/>
        <v>0</v>
      </c>
      <c r="M126" s="24"/>
      <c r="N126" s="128"/>
    </row>
    <row r="127" spans="1:14" x14ac:dyDescent="0.2">
      <c r="A127" s="192" t="s">
        <v>159</v>
      </c>
      <c r="B127" s="190"/>
      <c r="I127" s="191"/>
      <c r="J127" s="191"/>
      <c r="K127" s="191"/>
      <c r="L127" s="191"/>
      <c r="M127" s="62"/>
      <c r="N127" s="129"/>
    </row>
    <row r="128" spans="1:14" ht="15" customHeight="1" x14ac:dyDescent="0.2">
      <c r="A128" s="274"/>
      <c r="B128" s="275"/>
      <c r="I128" s="244">
        <v>0</v>
      </c>
      <c r="J128" s="284">
        <f>427294-143560-254244</f>
        <v>29490</v>
      </c>
      <c r="K128" s="157">
        <f>67016.7-J128</f>
        <v>37526.699999999997</v>
      </c>
      <c r="L128" s="173">
        <f t="shared" si="55"/>
        <v>67016.7</v>
      </c>
      <c r="M128" s="24"/>
      <c r="N128" s="128"/>
    </row>
    <row r="129" spans="1:14" ht="15" customHeight="1" x14ac:dyDescent="0.2">
      <c r="A129" s="274"/>
      <c r="B129" s="275"/>
      <c r="I129" s="244">
        <v>0</v>
      </c>
      <c r="J129" s="284">
        <v>0</v>
      </c>
      <c r="K129" s="157">
        <v>0</v>
      </c>
      <c r="L129" s="173">
        <f t="shared" si="55"/>
        <v>0</v>
      </c>
      <c r="M129" s="24"/>
      <c r="N129" s="128"/>
    </row>
    <row r="130" spans="1:14" x14ac:dyDescent="0.2">
      <c r="A130" s="189" t="s">
        <v>160</v>
      </c>
      <c r="B130" s="190"/>
      <c r="I130" s="191"/>
      <c r="J130" s="191"/>
      <c r="K130" s="191"/>
      <c r="L130" s="191"/>
      <c r="M130" s="62"/>
      <c r="N130" s="129"/>
    </row>
    <row r="131" spans="1:14" ht="15" customHeight="1" x14ac:dyDescent="0.2">
      <c r="A131" s="274"/>
      <c r="B131" s="275"/>
      <c r="I131" s="244">
        <v>0</v>
      </c>
      <c r="J131" s="284">
        <v>0</v>
      </c>
      <c r="K131" s="157">
        <v>0</v>
      </c>
      <c r="L131" s="173">
        <f t="shared" ref="L131:L132" si="58">SUM(J131:K131)</f>
        <v>0</v>
      </c>
      <c r="M131" s="24"/>
      <c r="N131" s="128"/>
    </row>
    <row r="132" spans="1:14" ht="15" customHeight="1" x14ac:dyDescent="0.2">
      <c r="A132" s="274"/>
      <c r="B132" s="275"/>
      <c r="I132" s="244">
        <v>0</v>
      </c>
      <c r="J132" s="284">
        <v>0</v>
      </c>
      <c r="K132" s="157">
        <v>0</v>
      </c>
      <c r="L132" s="173">
        <f t="shared" si="58"/>
        <v>0</v>
      </c>
      <c r="M132" s="24"/>
      <c r="N132" s="128"/>
    </row>
    <row r="133" spans="1:14" ht="15.75" thickBot="1" x14ac:dyDescent="0.3">
      <c r="A133" s="193" t="s">
        <v>161</v>
      </c>
      <c r="B133" s="42"/>
      <c r="C133" s="42"/>
      <c r="D133" s="194" t="s">
        <v>162</v>
      </c>
      <c r="E133" s="195"/>
      <c r="F133" s="195"/>
      <c r="G133" s="195"/>
      <c r="H133" s="195"/>
      <c r="I133" s="174">
        <f>SUM(I115:I132)</f>
        <v>433287</v>
      </c>
      <c r="J133" s="174">
        <f t="shared" ref="J133:L133" si="59">SUM(J115:J132)</f>
        <v>283734.36</v>
      </c>
      <c r="K133" s="174">
        <f t="shared" si="59"/>
        <v>278767.81</v>
      </c>
      <c r="L133" s="174">
        <f t="shared" si="59"/>
        <v>562502.16999999993</v>
      </c>
      <c r="M133" s="175">
        <f>N13-L13</f>
        <v>342534.14000000013</v>
      </c>
      <c r="N133" s="176">
        <f>IFERROR(L133-M133,"N/A")</f>
        <v>219968.0299999998</v>
      </c>
    </row>
    <row r="134" spans="1:14" ht="13.5" thickBot="1" x14ac:dyDescent="0.25">
      <c r="A134" s="25"/>
      <c r="F134" s="69"/>
    </row>
    <row r="135" spans="1:14" x14ac:dyDescent="0.2">
      <c r="A135" s="196" t="s">
        <v>163</v>
      </c>
      <c r="B135" s="138"/>
      <c r="C135" s="138"/>
      <c r="D135" s="138"/>
      <c r="E135" s="138"/>
      <c r="F135" s="197"/>
      <c r="G135" s="197"/>
      <c r="H135" s="197"/>
      <c r="I135" s="197"/>
      <c r="J135" s="197"/>
      <c r="K135" s="197"/>
      <c r="L135" s="197"/>
      <c r="M135" s="28"/>
      <c r="N135" s="27"/>
    </row>
    <row r="136" spans="1:14" ht="13.5" thickBot="1" x14ac:dyDescent="0.25">
      <c r="A136" s="117" t="s">
        <v>164</v>
      </c>
      <c r="B136" s="118"/>
      <c r="C136" s="118"/>
      <c r="D136" s="118"/>
      <c r="E136" s="118"/>
      <c r="F136" s="198"/>
      <c r="G136" s="198"/>
      <c r="H136" s="198"/>
      <c r="I136" s="198"/>
      <c r="J136" s="198"/>
      <c r="K136" s="198"/>
      <c r="L136" s="198"/>
      <c r="M136" s="23"/>
      <c r="N136" s="22"/>
    </row>
  </sheetData>
  <conditionalFormatting sqref="B115:B132">
    <cfRule type="containsText" dxfId="14" priority="10" operator="containsText" text="VARIANCE">
      <formula>NOT(ISERROR(SEARCH("VARIANCE",B115)))</formula>
    </cfRule>
  </conditionalFormatting>
  <conditionalFormatting sqref="C115:C117">
    <cfRule type="containsText" dxfId="13" priority="1" operator="containsText" text="VARIANCE">
      <formula>NOT(ISERROR(SEARCH("VARIANCE",C115)))</formula>
    </cfRule>
  </conditionalFormatting>
  <conditionalFormatting sqref="I115:L115">
    <cfRule type="containsText" dxfId="12" priority="9" operator="containsText" text="VARIANCE">
      <formula>NOT(ISERROR(SEARCH("VARIANCE",I115)))</formula>
    </cfRule>
  </conditionalFormatting>
  <conditionalFormatting sqref="I118:L118">
    <cfRule type="containsText" dxfId="11" priority="8" operator="containsText" text="VARIANCE">
      <formula>NOT(ISERROR(SEARCH("VARIANCE",I118)))</formula>
    </cfRule>
  </conditionalFormatting>
  <conditionalFormatting sqref="I121:L121">
    <cfRule type="containsText" dxfId="10" priority="7" operator="containsText" text="VARIANCE">
      <formula>NOT(ISERROR(SEARCH("VARIANCE",I121)))</formula>
    </cfRule>
  </conditionalFormatting>
  <conditionalFormatting sqref="I124:L124">
    <cfRule type="containsText" dxfId="9" priority="6" operator="containsText" text="VARIANCE">
      <formula>NOT(ISERROR(SEARCH("VARIANCE",I124)))</formula>
    </cfRule>
  </conditionalFormatting>
  <conditionalFormatting sqref="I127:L127">
    <cfRule type="containsText" dxfId="8" priority="5" operator="containsText" text="VARIANCE">
      <formula>NOT(ISERROR(SEARCH("VARIANCE",I127)))</formula>
    </cfRule>
  </conditionalFormatting>
  <conditionalFormatting sqref="I130:L130">
    <cfRule type="containsText" dxfId="7" priority="4" operator="containsText" text="VARIANCE">
      <formula>NOT(ISERROR(SEARCH("VARIANCE",I130)))</formula>
    </cfRule>
  </conditionalFormatting>
  <conditionalFormatting sqref="O27:R35">
    <cfRule type="containsText" dxfId="6" priority="38" operator="containsText" text="VARIANCE">
      <formula>NOT(ISERROR(SEARCH("VARIANCE",O27)))</formula>
    </cfRule>
  </conditionalFormatting>
  <conditionalFormatting sqref="O48:R48">
    <cfRule type="containsText" dxfId="5" priority="29" operator="containsText" text="VARIANCE">
      <formula>NOT(ISERROR(SEARCH("VARIANCE",O48)))</formula>
    </cfRule>
  </conditionalFormatting>
  <conditionalFormatting sqref="O58:R58">
    <cfRule type="containsText" dxfId="4" priority="28" operator="containsText" text="VARIANCE">
      <formula>NOT(ISERROR(SEARCH("VARIANCE",O58)))</formula>
    </cfRule>
  </conditionalFormatting>
  <conditionalFormatting sqref="O81:R81">
    <cfRule type="containsText" dxfId="3" priority="27" operator="containsText" text="VARIANCE">
      <formula>NOT(ISERROR(SEARCH("VARIANCE",O81)))</formula>
    </cfRule>
  </conditionalFormatting>
  <conditionalFormatting sqref="O89:R89">
    <cfRule type="containsText" dxfId="2" priority="26" operator="containsText" text="VARIANCE">
      <formula>NOT(ISERROR(SEARCH("VARIANCE",O89)))</formula>
    </cfRule>
  </conditionalFormatting>
  <conditionalFormatting sqref="O97:R97">
    <cfRule type="containsText" dxfId="1" priority="25" operator="containsText" text="VARIANCE">
      <formula>NOT(ISERROR(SEARCH("VARIANCE",O97)))</formula>
    </cfRule>
  </conditionalFormatting>
  <conditionalFormatting sqref="O106:R106">
    <cfRule type="containsText" dxfId="0" priority="24" operator="containsText" text="VARIANCE">
      <formula>NOT(ISERROR(SEARCH("VARIANCE",O106)))</formula>
    </cfRule>
  </conditionalFormatting>
  <dataValidations count="6">
    <dataValidation type="list" allowBlank="1" showInputMessage="1" showErrorMessage="1" sqref="C116:C117" xr:uid="{00000000-0002-0000-0300-000000000000}">
      <formula1>$F$19:$F$21</formula1>
    </dataValidation>
    <dataValidation type="list" allowBlank="1" showInputMessage="1" showErrorMessage="1" sqref="C27:C35" xr:uid="{00000000-0002-0000-0300-000001000000}">
      <formula1>$C$19:$C$21</formula1>
    </dataValidation>
    <dataValidation type="decimal" errorStyle="warning" allowBlank="1" showInputMessage="1" showErrorMessage="1" errorTitle="VARIANCE REPORT REQUIRED" error="Percentages below 90% or above 110% require an explanation in the VARIANCE REPORT/NOTES column." sqref="M27:M35" xr:uid="{00000000-0002-0000-0300-000002000000}">
      <formula1>0.9</formula1>
      <formula2>1.1</formula2>
    </dataValidation>
    <dataValidation type="list" allowBlank="1" showInputMessage="1" showErrorMessage="1" sqref="B10" xr:uid="{00000000-0002-0000-0300-000003000000}">
      <formula1>$A$19:$A$21</formula1>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300-000004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4:F105" xr:uid="{00000000-0002-0000-0300-000005000000}">
      <formula1>0</formula1>
      <formula2>0.15</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I50"/>
  <sheetViews>
    <sheetView zoomScale="90" zoomScaleNormal="90" workbookViewId="0">
      <selection activeCell="I1" sqref="I1"/>
    </sheetView>
  </sheetViews>
  <sheetFormatPr defaultColWidth="8.85546875" defaultRowHeight="12.75" x14ac:dyDescent="0.2"/>
  <cols>
    <col min="1" max="1" width="53.7109375" style="326" customWidth="1"/>
    <col min="2" max="5" width="17.28515625" style="327" customWidth="1"/>
    <col min="6" max="8" width="17.28515625" style="303" customWidth="1"/>
    <col min="9" max="9" width="17.140625" style="304" customWidth="1"/>
    <col min="10" max="16384" width="8.85546875" style="304"/>
  </cols>
  <sheetData>
    <row r="1" spans="1:8" ht="18" x14ac:dyDescent="0.2">
      <c r="A1" s="299" t="s">
        <v>36</v>
      </c>
      <c r="B1" s="300"/>
      <c r="C1" s="301"/>
      <c r="D1" s="301"/>
      <c r="E1" s="301"/>
      <c r="F1" s="302"/>
    </row>
    <row r="2" spans="1:8" ht="18" x14ac:dyDescent="0.2">
      <c r="A2" s="299" t="s">
        <v>174</v>
      </c>
      <c r="B2" s="305"/>
      <c r="C2" s="305"/>
      <c r="D2" s="306"/>
      <c r="E2" s="306"/>
      <c r="F2" s="305"/>
      <c r="G2" s="305"/>
      <c r="H2" s="305"/>
    </row>
    <row r="3" spans="1:8" ht="9.75" customHeight="1" x14ac:dyDescent="0.2">
      <c r="A3" s="299"/>
      <c r="B3" s="305"/>
      <c r="C3" s="305"/>
      <c r="D3" s="306"/>
      <c r="E3" s="306"/>
      <c r="F3" s="305"/>
      <c r="G3" s="305"/>
      <c r="H3" s="305"/>
    </row>
    <row r="4" spans="1:8" x14ac:dyDescent="0.2">
      <c r="A4" s="307"/>
      <c r="B4" s="300"/>
      <c r="C4" s="301"/>
      <c r="D4" s="301"/>
      <c r="E4" s="301"/>
      <c r="F4" s="302"/>
    </row>
    <row r="5" spans="1:8" s="311" customFormat="1" ht="45" x14ac:dyDescent="0.2">
      <c r="A5" s="308" t="s">
        <v>175</v>
      </c>
      <c r="B5" s="309" t="s">
        <v>176</v>
      </c>
      <c r="C5" s="309" t="s">
        <v>177</v>
      </c>
      <c r="D5" s="309" t="s">
        <v>178</v>
      </c>
      <c r="E5" s="310"/>
      <c r="G5" s="310"/>
      <c r="H5" s="310"/>
    </row>
    <row r="6" spans="1:8" s="311" customFormat="1" ht="14.25" x14ac:dyDescent="0.2">
      <c r="A6" s="312" t="s">
        <v>179</v>
      </c>
      <c r="B6" s="313">
        <v>375</v>
      </c>
      <c r="C6" s="314">
        <v>312</v>
      </c>
      <c r="D6" s="314">
        <v>408</v>
      </c>
      <c r="E6" s="310"/>
      <c r="G6" s="310"/>
      <c r="H6" s="310"/>
    </row>
    <row r="7" spans="1:8" s="311" customFormat="1" ht="14.25" x14ac:dyDescent="0.2">
      <c r="A7" s="312" t="s">
        <v>180</v>
      </c>
      <c r="B7" s="313">
        <v>280</v>
      </c>
      <c r="C7" s="314">
        <v>190</v>
      </c>
      <c r="D7" s="314">
        <v>303</v>
      </c>
      <c r="E7" s="310"/>
      <c r="G7" s="310"/>
      <c r="H7" s="310"/>
    </row>
    <row r="8" spans="1:8" s="311" customFormat="1" ht="14.25" x14ac:dyDescent="0.2">
      <c r="A8" s="312" t="s">
        <v>181</v>
      </c>
      <c r="B8" s="313">
        <v>215</v>
      </c>
      <c r="C8" s="314">
        <v>139</v>
      </c>
      <c r="D8" s="314">
        <v>245</v>
      </c>
      <c r="E8" s="310"/>
      <c r="G8" s="310"/>
      <c r="H8" s="310"/>
    </row>
    <row r="9" spans="1:8" s="311" customFormat="1" ht="14.25" x14ac:dyDescent="0.2">
      <c r="A9" s="312" t="s">
        <v>182</v>
      </c>
      <c r="B9" s="313">
        <v>0</v>
      </c>
      <c r="C9" s="314">
        <v>0</v>
      </c>
      <c r="D9" s="314">
        <v>0</v>
      </c>
      <c r="E9" s="310"/>
      <c r="G9" s="310"/>
      <c r="H9" s="310"/>
    </row>
    <row r="10" spans="1:8" s="311" customFormat="1" ht="14.25" x14ac:dyDescent="0.2">
      <c r="A10" s="312" t="s">
        <v>183</v>
      </c>
      <c r="B10" s="313">
        <v>180</v>
      </c>
      <c r="C10" s="314">
        <v>137</v>
      </c>
      <c r="D10" s="314">
        <v>200</v>
      </c>
      <c r="E10" s="310"/>
      <c r="G10" s="310"/>
      <c r="H10" s="310"/>
    </row>
    <row r="11" spans="1:8" s="311" customFormat="1" ht="14.25" x14ac:dyDescent="0.2">
      <c r="A11" s="312" t="s">
        <v>184</v>
      </c>
      <c r="B11" s="313">
        <v>20</v>
      </c>
      <c r="C11" s="314">
        <v>14</v>
      </c>
      <c r="D11" s="314">
        <v>20</v>
      </c>
      <c r="E11" s="310"/>
      <c r="G11" s="310"/>
      <c r="H11" s="310"/>
    </row>
    <row r="12" spans="1:8" s="311" customFormat="1" ht="14.25" x14ac:dyDescent="0.2">
      <c r="A12" s="312" t="s">
        <v>185</v>
      </c>
      <c r="B12" s="313">
        <v>75</v>
      </c>
      <c r="C12" s="314">
        <v>50</v>
      </c>
      <c r="D12" s="314">
        <v>75</v>
      </c>
      <c r="E12" s="310"/>
      <c r="G12" s="310"/>
      <c r="H12" s="310"/>
    </row>
    <row r="13" spans="1:8" s="311" customFormat="1" ht="14.25" x14ac:dyDescent="0.2">
      <c r="A13" s="312" t="s">
        <v>186</v>
      </c>
      <c r="B13" s="313">
        <v>30</v>
      </c>
      <c r="C13" s="314">
        <v>22</v>
      </c>
      <c r="D13" s="314">
        <v>61</v>
      </c>
      <c r="E13" s="310"/>
      <c r="G13" s="310"/>
      <c r="H13" s="310"/>
    </row>
    <row r="14" spans="1:8" s="311" customFormat="1" ht="14.25" x14ac:dyDescent="0.2">
      <c r="A14" s="315"/>
      <c r="B14" s="316"/>
      <c r="C14" s="316"/>
      <c r="D14" s="316"/>
      <c r="E14" s="310"/>
      <c r="G14" s="310"/>
      <c r="H14" s="310"/>
    </row>
    <row r="15" spans="1:8" s="311" customFormat="1" ht="30" x14ac:dyDescent="0.2">
      <c r="A15" s="308" t="s">
        <v>187</v>
      </c>
      <c r="B15" s="309" t="s">
        <v>176</v>
      </c>
      <c r="C15" s="309" t="s">
        <v>177</v>
      </c>
      <c r="D15" s="309" t="s">
        <v>178</v>
      </c>
      <c r="E15" s="310"/>
      <c r="G15" s="310"/>
      <c r="H15" s="310"/>
    </row>
    <row r="16" spans="1:8" s="311" customFormat="1" ht="14.25" x14ac:dyDescent="0.2">
      <c r="A16" s="312" t="s">
        <v>188</v>
      </c>
      <c r="B16" s="313">
        <v>15</v>
      </c>
      <c r="C16" s="314">
        <v>6</v>
      </c>
      <c r="D16" s="314">
        <v>13</v>
      </c>
      <c r="E16" s="310"/>
      <c r="G16" s="310"/>
      <c r="H16" s="310"/>
    </row>
    <row r="17" spans="1:8" s="311" customFormat="1" ht="14.25" x14ac:dyDescent="0.2">
      <c r="A17" s="312" t="s">
        <v>189</v>
      </c>
      <c r="B17" s="313">
        <v>30</v>
      </c>
      <c r="C17" s="314">
        <v>13</v>
      </c>
      <c r="D17" s="314">
        <v>26</v>
      </c>
      <c r="E17" s="310"/>
      <c r="G17" s="310"/>
      <c r="H17" s="310"/>
    </row>
    <row r="18" spans="1:8" s="311" customFormat="1" ht="14.25" x14ac:dyDescent="0.2">
      <c r="A18" s="312" t="s">
        <v>190</v>
      </c>
      <c r="B18" s="313">
        <v>35</v>
      </c>
      <c r="C18" s="314">
        <v>22</v>
      </c>
      <c r="D18" s="314">
        <v>39</v>
      </c>
      <c r="E18" s="310"/>
      <c r="G18" s="310"/>
      <c r="H18" s="310"/>
    </row>
    <row r="19" spans="1:8" s="311" customFormat="1" ht="14.25" x14ac:dyDescent="0.2">
      <c r="A19" s="312" t="s">
        <v>191</v>
      </c>
      <c r="B19" s="313">
        <v>180</v>
      </c>
      <c r="C19" s="314">
        <v>134</v>
      </c>
      <c r="D19" s="314">
        <v>167</v>
      </c>
      <c r="E19" s="310"/>
      <c r="G19" s="310"/>
      <c r="H19" s="310"/>
    </row>
    <row r="20" spans="1:8" s="311" customFormat="1" ht="14.25" x14ac:dyDescent="0.2">
      <c r="A20" s="312" t="s">
        <v>192</v>
      </c>
      <c r="B20" s="313">
        <v>8</v>
      </c>
      <c r="C20" s="314">
        <v>3</v>
      </c>
      <c r="D20" s="314">
        <v>11</v>
      </c>
      <c r="E20" s="310"/>
      <c r="G20" s="310"/>
      <c r="H20" s="310"/>
    </row>
    <row r="21" spans="1:8" s="311" customFormat="1" ht="14.25" x14ac:dyDescent="0.2">
      <c r="A21" s="312" t="s">
        <v>193</v>
      </c>
      <c r="B21" s="313">
        <v>0</v>
      </c>
      <c r="C21" s="314">
        <v>0</v>
      </c>
      <c r="D21" s="314">
        <v>14</v>
      </c>
      <c r="E21" s="310"/>
      <c r="G21" s="310"/>
      <c r="H21" s="310"/>
    </row>
    <row r="22" spans="1:8" s="311" customFormat="1" ht="14.25" x14ac:dyDescent="0.2">
      <c r="A22" s="312" t="s">
        <v>194</v>
      </c>
      <c r="B22" s="313">
        <v>12</v>
      </c>
      <c r="C22" s="314">
        <v>12</v>
      </c>
      <c r="D22" s="314">
        <v>33</v>
      </c>
      <c r="E22" s="310"/>
      <c r="G22" s="310"/>
      <c r="H22" s="310"/>
    </row>
    <row r="23" spans="1:8" s="311" customFormat="1" ht="15" x14ac:dyDescent="0.2">
      <c r="A23" s="317" t="s">
        <v>173</v>
      </c>
      <c r="B23" s="318">
        <f>SUM(B16:B22)</f>
        <v>280</v>
      </c>
      <c r="C23" s="318">
        <f t="shared" ref="C23:D23" si="0">SUM(C16:C22)</f>
        <v>190</v>
      </c>
      <c r="D23" s="318">
        <f t="shared" si="0"/>
        <v>303</v>
      </c>
      <c r="E23" s="310"/>
      <c r="G23" s="310"/>
      <c r="H23" s="310"/>
    </row>
    <row r="24" spans="1:8" s="311" customFormat="1" ht="14.25" x14ac:dyDescent="0.2">
      <c r="B24" s="316"/>
      <c r="C24" s="316"/>
      <c r="D24" s="316"/>
      <c r="E24" s="310"/>
      <c r="G24" s="310"/>
      <c r="H24" s="310"/>
    </row>
    <row r="25" spans="1:8" s="311" customFormat="1" ht="30" x14ac:dyDescent="0.2">
      <c r="A25" s="308" t="s">
        <v>195</v>
      </c>
      <c r="B25" s="309" t="s">
        <v>176</v>
      </c>
      <c r="C25" s="309" t="s">
        <v>177</v>
      </c>
      <c r="D25" s="309" t="s">
        <v>178</v>
      </c>
      <c r="E25" s="310"/>
      <c r="G25" s="310"/>
      <c r="H25" s="310"/>
    </row>
    <row r="26" spans="1:8" s="311" customFormat="1" ht="14.25" x14ac:dyDescent="0.2">
      <c r="A26" s="312">
        <v>90401</v>
      </c>
      <c r="B26" s="313">
        <v>53</v>
      </c>
      <c r="C26" s="314">
        <v>46</v>
      </c>
      <c r="D26" s="314">
        <v>66</v>
      </c>
      <c r="E26" s="310"/>
      <c r="G26" s="310"/>
      <c r="H26" s="310"/>
    </row>
    <row r="27" spans="1:8" s="311" customFormat="1" ht="14.25" x14ac:dyDescent="0.2">
      <c r="A27" s="312">
        <v>90402</v>
      </c>
      <c r="B27" s="313">
        <v>14</v>
      </c>
      <c r="C27" s="314">
        <v>7</v>
      </c>
      <c r="D27" s="314">
        <v>14</v>
      </c>
      <c r="E27" s="310"/>
      <c r="G27" s="310"/>
      <c r="H27" s="310"/>
    </row>
    <row r="28" spans="1:8" s="311" customFormat="1" ht="14.25" x14ac:dyDescent="0.2">
      <c r="A28" s="312">
        <v>90403</v>
      </c>
      <c r="B28" s="313">
        <v>58</v>
      </c>
      <c r="C28" s="314">
        <v>34</v>
      </c>
      <c r="D28" s="314">
        <v>80</v>
      </c>
      <c r="E28" s="310"/>
      <c r="G28" s="310"/>
      <c r="H28" s="310"/>
    </row>
    <row r="29" spans="1:8" s="311" customFormat="1" ht="14.25" x14ac:dyDescent="0.2">
      <c r="A29" s="312">
        <v>90404</v>
      </c>
      <c r="B29" s="313">
        <v>72</v>
      </c>
      <c r="C29" s="314">
        <v>50</v>
      </c>
      <c r="D29" s="314">
        <v>75</v>
      </c>
      <c r="E29" s="310"/>
      <c r="G29" s="310"/>
      <c r="H29" s="310"/>
    </row>
    <row r="30" spans="1:8" s="311" customFormat="1" ht="14.25" x14ac:dyDescent="0.2">
      <c r="A30" s="312">
        <v>90405</v>
      </c>
      <c r="B30" s="313">
        <v>83</v>
      </c>
      <c r="C30" s="314">
        <v>53</v>
      </c>
      <c r="D30" s="314">
        <v>68</v>
      </c>
      <c r="E30" s="310"/>
      <c r="G30" s="310"/>
      <c r="H30" s="310"/>
    </row>
    <row r="31" spans="1:8" s="311" customFormat="1" ht="14.25" x14ac:dyDescent="0.2">
      <c r="A31" s="312" t="s">
        <v>196</v>
      </c>
      <c r="B31" s="313">
        <v>0</v>
      </c>
      <c r="C31" s="314">
        <v>0</v>
      </c>
      <c r="D31" s="314"/>
      <c r="E31" s="310"/>
      <c r="G31" s="310"/>
      <c r="H31" s="310"/>
    </row>
    <row r="32" spans="1:8" s="311" customFormat="1" ht="15" x14ac:dyDescent="0.2">
      <c r="A32" s="317" t="s">
        <v>173</v>
      </c>
      <c r="B32" s="318">
        <f>SUM(B26:B31)</f>
        <v>280</v>
      </c>
      <c r="C32" s="318">
        <f>SUM(C26:C31)</f>
        <v>190</v>
      </c>
      <c r="D32" s="318">
        <f>SUM(D26:D31)</f>
        <v>303</v>
      </c>
      <c r="E32" s="310"/>
      <c r="G32" s="310"/>
      <c r="H32" s="310"/>
    </row>
    <row r="33" spans="1:9" s="311" customFormat="1" ht="14.25" x14ac:dyDescent="0.2">
      <c r="B33" s="310"/>
      <c r="C33" s="316"/>
      <c r="D33" s="316"/>
      <c r="E33" s="310"/>
      <c r="G33" s="310"/>
      <c r="H33" s="310"/>
    </row>
    <row r="34" spans="1:9" s="311" customFormat="1" ht="30" customHeight="1" x14ac:dyDescent="0.2">
      <c r="A34" s="453" t="s">
        <v>197</v>
      </c>
      <c r="B34" s="455" t="s">
        <v>177</v>
      </c>
      <c r="C34" s="456"/>
      <c r="D34" s="456"/>
      <c r="E34" s="457"/>
      <c r="F34" s="455" t="s">
        <v>178</v>
      </c>
      <c r="G34" s="456"/>
      <c r="H34" s="456"/>
      <c r="I34" s="457"/>
    </row>
    <row r="35" spans="1:9" s="311" customFormat="1" ht="22.5" customHeight="1" x14ac:dyDescent="0.2">
      <c r="A35" s="454"/>
      <c r="B35" s="309" t="s">
        <v>198</v>
      </c>
      <c r="C35" s="309" t="s">
        <v>199</v>
      </c>
      <c r="D35" s="309" t="s">
        <v>200</v>
      </c>
      <c r="E35" s="309" t="s">
        <v>201</v>
      </c>
      <c r="F35" s="309" t="s">
        <v>198</v>
      </c>
      <c r="G35" s="309" t="s">
        <v>199</v>
      </c>
      <c r="H35" s="309" t="s">
        <v>200</v>
      </c>
      <c r="I35" s="309" t="s">
        <v>201</v>
      </c>
    </row>
    <row r="36" spans="1:9" s="311" customFormat="1" ht="14.25" x14ac:dyDescent="0.2">
      <c r="A36" s="319" t="s">
        <v>202</v>
      </c>
      <c r="B36" s="320">
        <v>0</v>
      </c>
      <c r="C36" s="321">
        <v>0</v>
      </c>
      <c r="D36" s="321">
        <v>0</v>
      </c>
      <c r="E36" s="321"/>
      <c r="F36" s="320"/>
      <c r="G36" s="321"/>
      <c r="H36" s="321"/>
      <c r="I36" s="321"/>
    </row>
    <row r="37" spans="1:9" s="311" customFormat="1" ht="14.25" x14ac:dyDescent="0.2">
      <c r="A37" s="322" t="s">
        <v>203</v>
      </c>
      <c r="B37" s="323">
        <v>0</v>
      </c>
      <c r="C37" s="321">
        <v>0</v>
      </c>
      <c r="D37" s="321">
        <v>0</v>
      </c>
      <c r="E37" s="321"/>
      <c r="F37" s="320"/>
      <c r="G37" s="321"/>
      <c r="H37" s="321"/>
      <c r="I37" s="321"/>
    </row>
    <row r="38" spans="1:9" s="311" customFormat="1" ht="14.25" x14ac:dyDescent="0.2">
      <c r="A38" s="322" t="s">
        <v>204</v>
      </c>
      <c r="B38" s="323">
        <v>0</v>
      </c>
      <c r="C38" s="321">
        <v>0</v>
      </c>
      <c r="D38" s="321">
        <v>0</v>
      </c>
      <c r="E38" s="321"/>
      <c r="F38" s="320"/>
      <c r="G38" s="321"/>
      <c r="H38" s="321"/>
      <c r="I38" s="321"/>
    </row>
    <row r="39" spans="1:9" s="311" customFormat="1" ht="14.25" x14ac:dyDescent="0.2">
      <c r="A39" s="319" t="s">
        <v>205</v>
      </c>
      <c r="B39" s="323">
        <v>0</v>
      </c>
      <c r="C39" s="321">
        <v>0</v>
      </c>
      <c r="D39" s="321">
        <v>0</v>
      </c>
      <c r="E39" s="321"/>
      <c r="F39" s="320"/>
      <c r="G39" s="321"/>
      <c r="H39" s="321"/>
      <c r="I39" s="321"/>
    </row>
    <row r="40" spans="1:9" s="311" customFormat="1" ht="14.25" x14ac:dyDescent="0.2">
      <c r="A40" s="319" t="s">
        <v>206</v>
      </c>
      <c r="B40" s="323">
        <v>0</v>
      </c>
      <c r="C40" s="321">
        <v>0</v>
      </c>
      <c r="D40" s="321">
        <v>0</v>
      </c>
      <c r="E40" s="321"/>
      <c r="F40" s="320"/>
      <c r="G40" s="321"/>
      <c r="H40" s="321"/>
      <c r="I40" s="321"/>
    </row>
    <row r="41" spans="1:9" s="311" customFormat="1" ht="14.25" x14ac:dyDescent="0.2">
      <c r="A41" s="319" t="s">
        <v>207</v>
      </c>
      <c r="B41" s="323">
        <v>0</v>
      </c>
      <c r="C41" s="321">
        <v>0</v>
      </c>
      <c r="D41" s="321">
        <v>0</v>
      </c>
      <c r="E41" s="321"/>
      <c r="F41" s="320"/>
      <c r="G41" s="321"/>
      <c r="H41" s="321"/>
      <c r="I41" s="321"/>
    </row>
    <row r="42" spans="1:9" s="311" customFormat="1" ht="14.25" x14ac:dyDescent="0.2">
      <c r="A42" s="319" t="s">
        <v>208</v>
      </c>
      <c r="B42" s="323">
        <v>0</v>
      </c>
      <c r="C42" s="321">
        <v>0</v>
      </c>
      <c r="D42" s="321">
        <v>0</v>
      </c>
      <c r="E42" s="321"/>
      <c r="F42" s="320"/>
      <c r="G42" s="321"/>
      <c r="H42" s="321"/>
      <c r="I42" s="321"/>
    </row>
    <row r="43" spans="1:9" s="311" customFormat="1" ht="14.25" x14ac:dyDescent="0.2">
      <c r="A43" s="319" t="s">
        <v>209</v>
      </c>
      <c r="B43" s="323">
        <v>2</v>
      </c>
      <c r="C43" s="321">
        <v>3</v>
      </c>
      <c r="D43" s="321"/>
      <c r="E43" s="321"/>
      <c r="F43" s="320">
        <v>2</v>
      </c>
      <c r="G43" s="321">
        <v>4</v>
      </c>
      <c r="H43" s="321">
        <v>0</v>
      </c>
      <c r="I43" s="321">
        <v>0</v>
      </c>
    </row>
    <row r="44" spans="1:9" s="311" customFormat="1" ht="14.25" x14ac:dyDescent="0.2">
      <c r="A44" s="319" t="s">
        <v>210</v>
      </c>
      <c r="B44" s="323">
        <v>37</v>
      </c>
      <c r="C44" s="321">
        <v>52</v>
      </c>
      <c r="D44" s="321"/>
      <c r="E44" s="321"/>
      <c r="F44" s="320">
        <v>43</v>
      </c>
      <c r="G44" s="321">
        <v>74</v>
      </c>
      <c r="H44" s="321">
        <v>0</v>
      </c>
      <c r="I44" s="321">
        <v>18</v>
      </c>
    </row>
    <row r="45" spans="1:9" s="311" customFormat="1" ht="14.25" x14ac:dyDescent="0.2">
      <c r="A45" s="319" t="s">
        <v>211</v>
      </c>
      <c r="B45" s="323">
        <v>28</v>
      </c>
      <c r="C45" s="321">
        <v>48</v>
      </c>
      <c r="D45" s="321"/>
      <c r="E45" s="321"/>
      <c r="F45" s="320">
        <v>34</v>
      </c>
      <c r="G45" s="321">
        <v>80</v>
      </c>
      <c r="H45" s="321">
        <v>0</v>
      </c>
      <c r="I45" s="321">
        <v>13</v>
      </c>
    </row>
    <row r="46" spans="1:9" s="311" customFormat="1" ht="14.25" x14ac:dyDescent="0.2">
      <c r="A46" s="319" t="s">
        <v>212</v>
      </c>
      <c r="B46" s="323">
        <v>3</v>
      </c>
      <c r="C46" s="321">
        <v>17</v>
      </c>
      <c r="D46" s="321"/>
      <c r="E46" s="321"/>
      <c r="F46" s="320">
        <v>5</v>
      </c>
      <c r="G46" s="321">
        <v>23</v>
      </c>
      <c r="H46" s="321">
        <v>0</v>
      </c>
      <c r="I46" s="321">
        <v>7</v>
      </c>
    </row>
    <row r="47" spans="1:9" ht="15" x14ac:dyDescent="0.2">
      <c r="A47" s="324" t="s">
        <v>173</v>
      </c>
      <c r="B47" s="325">
        <f t="shared" ref="B47:I47" si="1">SUM(B36:B46)</f>
        <v>70</v>
      </c>
      <c r="C47" s="325">
        <f t="shared" si="1"/>
        <v>120</v>
      </c>
      <c r="D47" s="325">
        <f t="shared" si="1"/>
        <v>0</v>
      </c>
      <c r="E47" s="325">
        <f t="shared" si="1"/>
        <v>0</v>
      </c>
      <c r="F47" s="325">
        <f t="shared" si="1"/>
        <v>84</v>
      </c>
      <c r="G47" s="325">
        <f t="shared" si="1"/>
        <v>181</v>
      </c>
      <c r="H47" s="325">
        <f t="shared" si="1"/>
        <v>0</v>
      </c>
      <c r="I47" s="325">
        <f t="shared" si="1"/>
        <v>38</v>
      </c>
    </row>
    <row r="48" spans="1:9" x14ac:dyDescent="0.2">
      <c r="C48" s="303"/>
    </row>
    <row r="49" spans="1:3" ht="45" x14ac:dyDescent="0.2">
      <c r="A49" s="308" t="s">
        <v>213</v>
      </c>
      <c r="B49" s="328" t="s">
        <v>176</v>
      </c>
      <c r="C49" s="329" t="s">
        <v>214</v>
      </c>
    </row>
    <row r="50" spans="1:3" ht="14.25" x14ac:dyDescent="0.2">
      <c r="A50" s="330"/>
      <c r="B50" s="201">
        <f>IFERROR(('PROGRAM BUDGET &amp; FISCAL REPORT'!G13/'PARTICIPANTS &amp; DEMOGRAPHICS'!B6),"N/A")</f>
        <v>2109.4548800000002</v>
      </c>
      <c r="C50" s="201">
        <f>IFERROR(('PROGRAM BUDGET &amp; FISCAL REPORT'!N13/'PARTICIPANTS &amp; DEMOGRAPHICS'!D6),"N/A")</f>
        <v>1673.9347794117646</v>
      </c>
    </row>
  </sheetData>
  <sheetProtection algorithmName="SHA-512" hashValue="7ggXyAluuwUojo4cKHgzRcyD7VFtySbRqmp9UT0Y98TLg2tM7zrNq4mDuokPPaJ5xB6LHBKDvqPRBsrkwi05rg==" saltValue="DK8RPHBIEM/mgLKsx2rMRg==" spinCount="100000" sheet="1" objects="1" scenarios="1"/>
  <mergeCells count="3">
    <mergeCell ref="A34:A35"/>
    <mergeCell ref="B34:E34"/>
    <mergeCell ref="F34:I34"/>
  </mergeCells>
  <pageMargins left="0.7" right="0.7" top="0.75" bottom="0.7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92D050"/>
    <pageSetUpPr fitToPage="1"/>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77" hidden="1" customWidth="1"/>
    <col min="2" max="2" width="48.85546875" style="77" customWidth="1"/>
    <col min="3" max="3" width="15.42578125" style="69" customWidth="1"/>
    <col min="4" max="4" width="19.140625" style="69" customWidth="1"/>
    <col min="5" max="5" width="19.7109375" style="69" customWidth="1"/>
    <col min="6" max="6" width="19.42578125" style="69" customWidth="1"/>
    <col min="7" max="7" width="31.42578125" style="69" customWidth="1"/>
    <col min="8" max="16384" width="11.42578125" style="77"/>
  </cols>
  <sheetData>
    <row r="1" spans="1:8" ht="18" x14ac:dyDescent="0.25">
      <c r="A1" s="37"/>
      <c r="B1" s="58" t="s">
        <v>36</v>
      </c>
      <c r="C1" s="77"/>
      <c r="D1" s="77"/>
      <c r="E1" s="77"/>
      <c r="F1" s="77"/>
      <c r="G1" s="77"/>
    </row>
    <row r="2" spans="1:8" ht="18" x14ac:dyDescent="0.25">
      <c r="A2" s="37"/>
      <c r="B2" s="58" t="s">
        <v>215</v>
      </c>
      <c r="C2" s="77"/>
      <c r="D2" s="77"/>
      <c r="E2" s="77"/>
      <c r="F2" s="77"/>
      <c r="G2" s="77"/>
    </row>
    <row r="3" spans="1:8" ht="22.5" customHeight="1" x14ac:dyDescent="0.25">
      <c r="A3" s="37"/>
      <c r="B3" s="298" t="str">
        <f>'PROGRAM BUDGET &amp; FISCAL REPORT'!A6</f>
        <v>AGENCY NAME:</v>
      </c>
      <c r="C3" s="202" t="str">
        <f>'PROGRAM BUDGET &amp; FISCAL REPORT'!B6</f>
        <v>WISE &amp; Healthy Aging</v>
      </c>
      <c r="D3" s="203"/>
      <c r="E3" s="203"/>
      <c r="F3" s="203"/>
      <c r="G3" s="77"/>
    </row>
    <row r="4" spans="1:8" ht="22.5" customHeight="1" x14ac:dyDescent="0.25">
      <c r="A4" s="37"/>
      <c r="B4" s="298" t="str">
        <f>'PROGRAM BUDGET &amp; FISCAL REPORT'!A7</f>
        <v>PROGRAM NAME:</v>
      </c>
      <c r="C4" s="204" t="str">
        <f>'PROGRAM BUDGET &amp; FISCAL REPORT'!B7</f>
        <v>Care Management</v>
      </c>
      <c r="D4" s="205"/>
      <c r="E4" s="205"/>
      <c r="F4" s="205"/>
      <c r="G4" s="77"/>
    </row>
    <row r="5" spans="1:8" ht="8.25" customHeight="1" thickBot="1" x14ac:dyDescent="0.25">
      <c r="A5" s="37"/>
      <c r="B5" s="296"/>
      <c r="C5" s="77"/>
      <c r="D5" s="77"/>
      <c r="E5" s="77"/>
      <c r="F5" s="77"/>
      <c r="G5" s="77"/>
    </row>
    <row r="6" spans="1:8" ht="52.5" customHeight="1" x14ac:dyDescent="0.55000000000000004">
      <c r="B6" s="81" t="s">
        <v>216</v>
      </c>
      <c r="C6" s="82" t="s">
        <v>217</v>
      </c>
      <c r="D6" s="82"/>
      <c r="E6" s="82" t="s">
        <v>218</v>
      </c>
      <c r="F6" s="83"/>
      <c r="G6" s="77"/>
    </row>
    <row r="7" spans="1:8" ht="14.25" x14ac:dyDescent="0.2">
      <c r="B7" s="84" t="s">
        <v>219</v>
      </c>
      <c r="C7" s="85">
        <f>'PARTICIPANTS &amp; DEMOGRAPHICS'!B6</f>
        <v>375</v>
      </c>
      <c r="D7" s="86"/>
      <c r="E7" s="86">
        <f>'PARTICIPANTS &amp; DEMOGRAPHICS'!D6</f>
        <v>408</v>
      </c>
      <c r="F7" s="87"/>
      <c r="G7" s="77"/>
    </row>
    <row r="8" spans="1:8" ht="14.25" x14ac:dyDescent="0.2">
      <c r="B8" s="88" t="s">
        <v>220</v>
      </c>
      <c r="C8" s="85">
        <f>'PARTICIPANTS &amp; DEMOGRAPHICS'!B7</f>
        <v>280</v>
      </c>
      <c r="D8" s="86"/>
      <c r="E8" s="86">
        <f>'PARTICIPANTS &amp; DEMOGRAPHICS'!D7</f>
        <v>303</v>
      </c>
      <c r="F8" s="87"/>
      <c r="G8" s="77"/>
    </row>
    <row r="9" spans="1:8" ht="14.25" x14ac:dyDescent="0.2">
      <c r="B9" s="84" t="s">
        <v>221</v>
      </c>
      <c r="C9" s="122">
        <f>IFERROR(C8/C7, "N/A")</f>
        <v>0.7466666666666667</v>
      </c>
      <c r="D9" s="90"/>
      <c r="E9" s="211">
        <f>IFERROR(E8/E7, "N/A")</f>
        <v>0.74264705882352944</v>
      </c>
      <c r="F9" s="87"/>
      <c r="G9" s="77"/>
    </row>
    <row r="10" spans="1:8" ht="14.25" x14ac:dyDescent="0.2">
      <c r="B10" s="84"/>
      <c r="C10" s="89"/>
      <c r="D10" s="90"/>
      <c r="E10" s="85"/>
      <c r="F10" s="87"/>
      <c r="G10" s="77"/>
    </row>
    <row r="11" spans="1:8" ht="63.75" customHeight="1" x14ac:dyDescent="0.55000000000000004">
      <c r="B11" s="91" t="s">
        <v>222</v>
      </c>
      <c r="C11" s="294" t="s">
        <v>223</v>
      </c>
      <c r="D11" s="294" t="s">
        <v>224</v>
      </c>
      <c r="E11" s="294" t="s">
        <v>225</v>
      </c>
      <c r="F11" s="295" t="s">
        <v>226</v>
      </c>
      <c r="G11" s="77"/>
    </row>
    <row r="12" spans="1:8" ht="16.5" customHeight="1" x14ac:dyDescent="0.2">
      <c r="B12" s="84" t="s">
        <v>227</v>
      </c>
      <c r="C12" s="206">
        <f>'PROGRAM BUDGET &amp; FISCAL REPORT'!G13</f>
        <v>791045.58000000007</v>
      </c>
      <c r="D12" s="206">
        <f>'PROGRAM BUDGET &amp; FISCAL REPORT'!H13</f>
        <v>354408.75</v>
      </c>
      <c r="E12" s="206">
        <f>'PROGRAM BUDGET &amp; FISCAL REPORT'!N13</f>
        <v>682965.3899999999</v>
      </c>
      <c r="F12" s="207">
        <f>'PROGRAM BUDGET &amp; FISCAL REPORT'!L13</f>
        <v>354409</v>
      </c>
      <c r="G12" s="77"/>
    </row>
    <row r="13" spans="1:8" ht="16.5" customHeight="1" x14ac:dyDescent="0.2">
      <c r="B13" s="84"/>
      <c r="C13" s="92"/>
      <c r="D13" s="92"/>
      <c r="E13" s="92"/>
      <c r="F13" s="93"/>
      <c r="G13" s="77"/>
    </row>
    <row r="14" spans="1:8" ht="19.5" x14ac:dyDescent="0.55000000000000004">
      <c r="B14" s="91" t="s">
        <v>228</v>
      </c>
      <c r="C14" s="458" t="s">
        <v>229</v>
      </c>
      <c r="D14" s="458"/>
      <c r="E14" s="458" t="s">
        <v>230</v>
      </c>
      <c r="F14" s="459"/>
      <c r="G14" s="77"/>
    </row>
    <row r="15" spans="1:8" ht="14.25" x14ac:dyDescent="0.2">
      <c r="B15" s="84" t="s">
        <v>231</v>
      </c>
      <c r="C15" s="208">
        <f>IFERROR(C12*C9,"N/A")</f>
        <v>590647.36640000006</v>
      </c>
      <c r="D15" s="94">
        <f>IFERROR(C15/C12,"N/A")</f>
        <v>0.7466666666666667</v>
      </c>
      <c r="E15" s="209">
        <f>IFERROR(E12*E9,"N/A")</f>
        <v>507202.23816176463</v>
      </c>
      <c r="F15" s="96">
        <f>IFERROR(E15/E12,"N/A")</f>
        <v>0.74264705882352944</v>
      </c>
      <c r="G15" s="77"/>
    </row>
    <row r="16" spans="1:8" ht="14.25" x14ac:dyDescent="0.2">
      <c r="B16" s="84" t="s">
        <v>232</v>
      </c>
      <c r="C16" s="208">
        <f>D12</f>
        <v>354408.75</v>
      </c>
      <c r="D16" s="94">
        <f>IFERROR(C16/C15, "N/A")</f>
        <v>0.60003442013146335</v>
      </c>
      <c r="E16" s="209">
        <f>F12</f>
        <v>354409</v>
      </c>
      <c r="F16" s="96">
        <f>IFERROR(E16/E15, "N/A")</f>
        <v>0.69875283138432542</v>
      </c>
      <c r="G16" s="77"/>
      <c r="H16" s="78"/>
    </row>
    <row r="17" spans="2:7" ht="15" thickBot="1" x14ac:dyDescent="0.25">
      <c r="B17" s="84"/>
      <c r="C17" s="59"/>
      <c r="D17" s="94"/>
      <c r="E17" s="95"/>
      <c r="F17" s="96"/>
      <c r="G17" s="77"/>
    </row>
    <row r="18" spans="2:7" ht="15.75" thickBot="1" x14ac:dyDescent="0.3">
      <c r="B18" s="97" t="s">
        <v>233</v>
      </c>
      <c r="C18" s="210">
        <f>IFERROR(C15-C16,"N/A")</f>
        <v>236238.61640000006</v>
      </c>
      <c r="D18" s="98">
        <f>IFERROR(C18/C15, "N/A")</f>
        <v>0.39996557986853665</v>
      </c>
      <c r="E18" s="210">
        <f>IFERROR(E15-E16, "N/A")</f>
        <v>152793.23816176463</v>
      </c>
      <c r="F18" s="99">
        <f>IFERROR(E18/E15, "N/A")</f>
        <v>0.30124716861567458</v>
      </c>
      <c r="G18" s="77"/>
    </row>
    <row r="19" spans="2:7" ht="30.75" thickBot="1" x14ac:dyDescent="0.3">
      <c r="B19" s="84"/>
      <c r="C19" s="100"/>
      <c r="D19" s="101" t="s">
        <v>234</v>
      </c>
      <c r="E19" s="86"/>
      <c r="F19" s="101" t="s">
        <v>234</v>
      </c>
    </row>
    <row r="20" spans="2:7" s="1" customFormat="1" ht="12.75" x14ac:dyDescent="0.2">
      <c r="B20" s="77"/>
      <c r="C20" s="69"/>
      <c r="D20" s="69"/>
      <c r="E20" s="69"/>
      <c r="F20" s="69"/>
      <c r="G20" s="69"/>
    </row>
  </sheetData>
  <sheetProtection algorithmName="SHA-512" hashValue="emVi5vl8oNLaKBbzvOmJ2djICbD0R3jNkCxHPtHe2W7KuZVCWW5rli+EolM1nTbUnFmE1T6xkJ3/pG7tZ3bhnQ==" saltValue="eGgxT5nq9Uhbk4f6hUshpg==" spinCount="100000" sheet="1" objects="1" scenarios="1"/>
  <mergeCells count="2">
    <mergeCell ref="C14:D14"/>
    <mergeCell ref="E14:F14"/>
  </mergeCells>
  <pageMargins left="1" right="1" top="0.81" bottom="0.5" header="0.5" footer="0.5"/>
  <pageSetup scale="69" orientation="portrait" horizontalDpi="4294967295" verticalDpi="4294967295" r:id="rId1"/>
  <headerFooter alignWithMargins="0">
    <oddHeader>&amp;C&amp;"Arial,Bold"&amp;12Cash Match Calculation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G41"/>
  <sheetViews>
    <sheetView zoomScaleNormal="100" workbookViewId="0">
      <selection activeCell="E1" sqref="E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7" s="74" customFormat="1" ht="18" x14ac:dyDescent="0.2">
      <c r="A1" s="75" t="s">
        <v>36</v>
      </c>
      <c r="B1" s="123"/>
      <c r="C1" s="76"/>
      <c r="D1" s="76"/>
      <c r="E1" s="76"/>
      <c r="F1" s="38"/>
      <c r="G1" s="38"/>
    </row>
    <row r="2" spans="1:7" ht="18" x14ac:dyDescent="0.25">
      <c r="A2" s="460" t="s">
        <v>235</v>
      </c>
      <c r="B2" s="461"/>
      <c r="C2" s="461"/>
      <c r="D2" s="461"/>
      <c r="E2" s="461"/>
    </row>
    <row r="3" spans="1:7" ht="15.75" x14ac:dyDescent="0.2">
      <c r="A3" s="212"/>
    </row>
    <row r="4" spans="1:7" ht="79.5" customHeight="1" x14ac:dyDescent="0.2">
      <c r="A4" s="462" t="s">
        <v>236</v>
      </c>
      <c r="B4" s="463"/>
      <c r="C4" s="463"/>
      <c r="D4" s="463"/>
      <c r="E4" s="463"/>
    </row>
    <row r="5" spans="1:7" ht="15" x14ac:dyDescent="0.2">
      <c r="A5" s="213"/>
      <c r="B5" s="214"/>
      <c r="C5" s="214"/>
      <c r="D5" s="214"/>
      <c r="E5" s="214"/>
    </row>
    <row r="6" spans="1:7" ht="45" x14ac:dyDescent="0.25">
      <c r="A6" s="464" t="s">
        <v>237</v>
      </c>
      <c r="B6" s="465"/>
      <c r="C6" s="297" t="s">
        <v>238</v>
      </c>
      <c r="D6" s="297" t="s">
        <v>239</v>
      </c>
      <c r="E6" s="215" t="s">
        <v>240</v>
      </c>
    </row>
    <row r="7" spans="1:7" ht="15" x14ac:dyDescent="0.25">
      <c r="A7" s="216" t="s">
        <v>241</v>
      </c>
      <c r="B7" s="217"/>
      <c r="C7" s="216"/>
      <c r="D7" s="216"/>
      <c r="E7" s="216"/>
    </row>
    <row r="8" spans="1:7" ht="15" x14ac:dyDescent="0.25">
      <c r="A8" s="218" t="s">
        <v>61</v>
      </c>
      <c r="B8" s="218" t="s">
        <v>242</v>
      </c>
      <c r="C8" s="219">
        <v>10000</v>
      </c>
      <c r="D8" s="219">
        <v>15000</v>
      </c>
      <c r="E8" s="216"/>
    </row>
    <row r="9" spans="1:7" ht="15" x14ac:dyDescent="0.25">
      <c r="A9" s="220"/>
      <c r="B9" s="221"/>
      <c r="C9" s="221"/>
      <c r="E9" s="222"/>
    </row>
    <row r="10" spans="1:7" ht="15" x14ac:dyDescent="0.25">
      <c r="A10" s="466" t="s">
        <v>153</v>
      </c>
      <c r="B10" s="467"/>
      <c r="C10" s="467"/>
      <c r="D10" s="467"/>
      <c r="E10" s="467"/>
    </row>
    <row r="11" spans="1:7" ht="14.25" x14ac:dyDescent="0.2">
      <c r="A11" s="223" t="s">
        <v>243</v>
      </c>
      <c r="B11" s="223" t="s">
        <v>244</v>
      </c>
      <c r="C11" s="232">
        <v>1125416</v>
      </c>
      <c r="D11" s="232">
        <v>1187140</v>
      </c>
      <c r="E11" s="224"/>
    </row>
    <row r="12" spans="1:7" ht="14.25" x14ac:dyDescent="0.2">
      <c r="A12" s="223" t="s">
        <v>245</v>
      </c>
      <c r="B12" s="223" t="s">
        <v>246</v>
      </c>
      <c r="C12" s="232">
        <f>2583365-175000</f>
        <v>2408365</v>
      </c>
      <c r="D12" s="232">
        <v>2203958</v>
      </c>
      <c r="E12" s="224"/>
    </row>
    <row r="13" spans="1:7" ht="14.25" x14ac:dyDescent="0.2">
      <c r="A13" s="223" t="s">
        <v>247</v>
      </c>
      <c r="B13" s="223" t="s">
        <v>248</v>
      </c>
      <c r="C13" s="232">
        <v>134284</v>
      </c>
      <c r="D13" s="232">
        <v>0</v>
      </c>
      <c r="E13" s="224"/>
    </row>
    <row r="14" spans="1:7" ht="14.25" x14ac:dyDescent="0.2">
      <c r="A14" s="223" t="s">
        <v>61</v>
      </c>
      <c r="B14" s="223" t="s">
        <v>249</v>
      </c>
      <c r="C14" s="232">
        <v>175000</v>
      </c>
      <c r="D14" s="232">
        <v>225000</v>
      </c>
      <c r="E14" s="225"/>
    </row>
    <row r="15" spans="1:7" ht="14.25" x14ac:dyDescent="0.2">
      <c r="A15" s="226"/>
      <c r="B15" s="226"/>
      <c r="C15" s="226"/>
      <c r="D15" s="227"/>
      <c r="E15" s="228"/>
    </row>
    <row r="16" spans="1:7" ht="15" x14ac:dyDescent="0.25">
      <c r="A16" s="466" t="s">
        <v>156</v>
      </c>
      <c r="B16" s="467"/>
      <c r="C16" s="467"/>
      <c r="D16" s="467"/>
      <c r="E16" s="467"/>
    </row>
    <row r="17" spans="1:5" ht="14.25" x14ac:dyDescent="0.2">
      <c r="B17" s="223" t="s">
        <v>250</v>
      </c>
      <c r="C17" s="232">
        <v>200000</v>
      </c>
      <c r="D17" s="232">
        <v>100000</v>
      </c>
      <c r="E17" s="224"/>
    </row>
    <row r="18" spans="1:5" ht="14.25" x14ac:dyDescent="0.2">
      <c r="B18" s="223" t="s">
        <v>251</v>
      </c>
      <c r="C18" s="232"/>
      <c r="D18" s="232">
        <v>50000</v>
      </c>
      <c r="E18" s="224"/>
    </row>
    <row r="19" spans="1:5" ht="14.25" x14ac:dyDescent="0.2">
      <c r="B19" s="223" t="s">
        <v>252</v>
      </c>
      <c r="C19" s="232">
        <v>0</v>
      </c>
      <c r="D19" s="232">
        <v>50000</v>
      </c>
      <c r="E19" s="224"/>
    </row>
    <row r="20" spans="1:5" ht="14.25" x14ac:dyDescent="0.2">
      <c r="B20" s="223" t="s">
        <v>253</v>
      </c>
      <c r="C20" s="232">
        <v>0</v>
      </c>
      <c r="D20" s="232">
        <f>27500+22500</f>
        <v>50000</v>
      </c>
      <c r="E20" s="225"/>
    </row>
    <row r="21" spans="1:5" ht="14.25" x14ac:dyDescent="0.2">
      <c r="A21" s="226"/>
      <c r="B21" s="226"/>
      <c r="C21" s="226"/>
      <c r="D21" s="227"/>
      <c r="E21" s="228"/>
    </row>
    <row r="22" spans="1:5" ht="15" x14ac:dyDescent="0.25">
      <c r="A22" s="466" t="s">
        <v>157</v>
      </c>
      <c r="B22" s="467"/>
      <c r="C22" s="467"/>
      <c r="D22" s="467"/>
      <c r="E22" s="467"/>
    </row>
    <row r="23" spans="1:5" ht="14.25" x14ac:dyDescent="0.2">
      <c r="B23" s="223" t="s">
        <v>254</v>
      </c>
      <c r="C23" s="232">
        <v>306367</v>
      </c>
      <c r="D23" s="232">
        <v>250000</v>
      </c>
      <c r="E23" s="224"/>
    </row>
    <row r="24" spans="1:5" ht="14.25" x14ac:dyDescent="0.2">
      <c r="B24" s="223" t="s">
        <v>146</v>
      </c>
      <c r="C24" s="232">
        <v>0</v>
      </c>
      <c r="D24" s="232">
        <v>0</v>
      </c>
      <c r="E24" s="225"/>
    </row>
    <row r="25" spans="1:5" ht="14.25" x14ac:dyDescent="0.2">
      <c r="A25" s="226"/>
      <c r="B25" s="226"/>
      <c r="C25" s="226"/>
      <c r="D25" s="227"/>
      <c r="E25" s="228"/>
    </row>
    <row r="26" spans="1:5" ht="15" x14ac:dyDescent="0.25">
      <c r="A26" s="466" t="s">
        <v>158</v>
      </c>
      <c r="B26" s="467"/>
      <c r="C26" s="467"/>
      <c r="D26" s="467"/>
      <c r="E26" s="467"/>
    </row>
    <row r="27" spans="1:5" ht="14.25" x14ac:dyDescent="0.2">
      <c r="B27" s="223" t="s">
        <v>146</v>
      </c>
      <c r="C27" s="232">
        <v>0</v>
      </c>
      <c r="D27" s="232">
        <v>0</v>
      </c>
      <c r="E27" s="224"/>
    </row>
    <row r="28" spans="1:5" ht="14.25" x14ac:dyDescent="0.2">
      <c r="B28" s="223" t="s">
        <v>146</v>
      </c>
      <c r="C28" s="232">
        <v>0</v>
      </c>
      <c r="D28" s="232">
        <v>0</v>
      </c>
      <c r="E28" s="225"/>
    </row>
    <row r="29" spans="1:5" ht="14.25" x14ac:dyDescent="0.2">
      <c r="A29" s="226"/>
      <c r="B29" s="226"/>
      <c r="C29" s="226"/>
      <c r="D29" s="227"/>
      <c r="E29" s="228"/>
    </row>
    <row r="30" spans="1:5" ht="15" x14ac:dyDescent="0.25">
      <c r="A30" s="466" t="s">
        <v>159</v>
      </c>
      <c r="B30" s="467"/>
      <c r="C30" s="467"/>
      <c r="D30" s="467"/>
      <c r="E30" s="467"/>
    </row>
    <row r="31" spans="1:5" ht="14.25" x14ac:dyDescent="0.2">
      <c r="B31" s="223" t="s">
        <v>255</v>
      </c>
      <c r="C31" s="232">
        <v>535000</v>
      </c>
      <c r="D31" s="232">
        <v>550000</v>
      </c>
      <c r="E31" s="224"/>
    </row>
    <row r="32" spans="1:5" ht="14.25" x14ac:dyDescent="0.2">
      <c r="B32" s="223" t="s">
        <v>256</v>
      </c>
      <c r="C32" s="232">
        <v>27000</v>
      </c>
      <c r="D32" s="232">
        <v>25000</v>
      </c>
      <c r="E32" s="224"/>
    </row>
    <row r="33" spans="1:5" ht="14.25" x14ac:dyDescent="0.2">
      <c r="B33" s="223" t="s">
        <v>257</v>
      </c>
      <c r="C33" s="232">
        <v>114400</v>
      </c>
      <c r="D33" s="232">
        <v>100000</v>
      </c>
      <c r="E33" s="225"/>
    </row>
    <row r="34" spans="1:5" ht="14.25" x14ac:dyDescent="0.2">
      <c r="A34" s="226"/>
      <c r="B34" s="226"/>
      <c r="C34" s="226"/>
      <c r="D34" s="227"/>
      <c r="E34" s="228"/>
    </row>
    <row r="35" spans="1:5" ht="15" x14ac:dyDescent="0.25">
      <c r="A35" s="466" t="s">
        <v>160</v>
      </c>
      <c r="B35" s="467"/>
      <c r="C35" s="467"/>
      <c r="D35" s="467"/>
      <c r="E35" s="467"/>
    </row>
    <row r="36" spans="1:5" ht="14.25" x14ac:dyDescent="0.2">
      <c r="B36" s="223" t="s">
        <v>146</v>
      </c>
      <c r="C36" s="232">
        <v>0</v>
      </c>
      <c r="D36" s="232">
        <v>0</v>
      </c>
      <c r="E36" s="224"/>
    </row>
    <row r="37" spans="1:5" ht="14.25" x14ac:dyDescent="0.2">
      <c r="B37" s="223" t="s">
        <v>146</v>
      </c>
      <c r="C37" s="232">
        <v>0</v>
      </c>
      <c r="D37" s="232">
        <v>0</v>
      </c>
      <c r="E37" s="225"/>
    </row>
    <row r="38" spans="1:5" x14ac:dyDescent="0.2">
      <c r="A38" s="229"/>
      <c r="B38" s="229"/>
      <c r="C38" s="229"/>
      <c r="D38" s="229"/>
      <c r="E38" s="230"/>
    </row>
    <row r="39" spans="1:5" ht="15" x14ac:dyDescent="0.25">
      <c r="A39" s="466" t="s">
        <v>161</v>
      </c>
      <c r="B39" s="466"/>
      <c r="C39" s="276">
        <f>SUM(C10:C38)</f>
        <v>5025832</v>
      </c>
      <c r="D39" s="276">
        <f>SUM(D10:D38)</f>
        <v>4791098</v>
      </c>
      <c r="E39" s="277"/>
    </row>
    <row r="40" spans="1:5" x14ac:dyDescent="0.2">
      <c r="A40" s="231"/>
      <c r="B40" s="231"/>
      <c r="C40" s="231"/>
      <c r="D40" s="231"/>
      <c r="E40" s="231"/>
    </row>
    <row r="41" spans="1:5" x14ac:dyDescent="0.2">
      <c r="A41" s="468"/>
      <c r="B41" s="467"/>
      <c r="C41" s="467"/>
      <c r="D41" s="467"/>
      <c r="E41" s="467"/>
    </row>
  </sheetData>
  <sheetProtection algorithmName="SHA-512" hashValue="aFgbFt/FKr36pyrZnnWHHLsisdJT2G6njNISZosks97dSs2ul9QgmsUADkkNh+AZAn4idwpQzRGSIQ+980J/cw==" saltValue="5kqdUcJkZ64/BRNPKJlxeA==" spinCount="100000" sheet="1" objects="1" scenarios="1"/>
  <mergeCells count="11">
    <mergeCell ref="A41:E41"/>
    <mergeCell ref="A35:E35"/>
    <mergeCell ref="A39:B39"/>
    <mergeCell ref="A16:E16"/>
    <mergeCell ref="A30:E30"/>
    <mergeCell ref="A26:E26"/>
    <mergeCell ref="A2:E2"/>
    <mergeCell ref="A4:E4"/>
    <mergeCell ref="A6:B6"/>
    <mergeCell ref="A10:E10"/>
    <mergeCell ref="A22:E22"/>
  </mergeCells>
  <pageMargins left="0.75" right="0.75" top="1" bottom="0.90849999999999997" header="0.5" footer="0.5"/>
  <pageSetup scale="78" firstPageNumber="8" orientation="portrait" r:id="rId1"/>
  <headerFooter alignWithMargins="0">
    <oddFooter>&amp;LCity of Santa Monica
Exhibit C – Program Budget
&amp;C&amp;P&amp;RFiscal Year 2020-21
Human Services Grants Program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1E63B85A-42C4-4E13-8EC5-19AAB101A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PROGRAM BUDGET &amp; FISCAL REPORT</vt:lpstr>
      <vt:lpstr>Worksheet</vt:lpstr>
      <vt:lpstr>CM Worksheet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2023-11-28T22:12:26Z</cp:lastPrinted>
  <dcterms:created xsi:type="dcterms:W3CDTF">1999-10-15T17:33:56Z</dcterms:created>
  <dcterms:modified xsi:type="dcterms:W3CDTF">2023-11-28T22:12:33Z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