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66" documentId="11_39C187BDD9B45800C75DCB26D9CE1CB017BC42A8" xr6:coauthVersionLast="46" xr6:coauthVersionMax="47" xr10:uidLastSave="{D64EAC02-80A6-49ED-AE71-B105F70E3AAB}"/>
  <workbookProtection workbookAlgorithmName="SHA-512" workbookHashValue="ZYCR8MTbkLmTO0ASnWdurXxk+Xp81MWwmttw9ZTz2kGPQdkaj99SjQVBguLhk9sYHG+OFEjf7PM4X18SCbj57A==" workbookSaltValue="OO3GEALjMiwSApBZAhzcig=="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SOURCES'!$A$1:$E$39</definedName>
    <definedName name="_xlnm.Print_Area" localSheetId="1">'PROGRAM BUDGET &amp; FISCAL REPORT'!$A$1:$N$140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2" i="19" l="1"/>
  <c r="N41" i="19"/>
  <c r="L41" i="19"/>
  <c r="K41" i="19"/>
  <c r="J41" i="19"/>
  <c r="I41" i="19"/>
  <c r="H41" i="19"/>
  <c r="G41" i="19"/>
  <c r="D41" i="19"/>
  <c r="N38" i="19"/>
  <c r="J38" i="19"/>
  <c r="H38" i="19"/>
  <c r="N36" i="19"/>
  <c r="J36" i="19"/>
  <c r="H36" i="19"/>
  <c r="N29" i="19"/>
  <c r="J29" i="19"/>
  <c r="H29" i="19"/>
  <c r="D38" i="19"/>
  <c r="D36" i="19"/>
  <c r="D29" i="19"/>
  <c r="N46" i="19"/>
  <c r="N34" i="19"/>
  <c r="N31" i="19"/>
  <c r="N28" i="19"/>
  <c r="N60" i="19"/>
  <c r="H60" i="19"/>
  <c r="H49" i="19"/>
  <c r="K72" i="19" l="1"/>
  <c r="K69" i="19"/>
  <c r="K68" i="19"/>
  <c r="K60" i="19"/>
  <c r="K59" i="19"/>
  <c r="K58" i="19"/>
  <c r="K37" i="19"/>
  <c r="K38" i="19" s="1"/>
  <c r="K108" i="19"/>
  <c r="K82" i="19" l="1"/>
  <c r="K81" i="19"/>
  <c r="K80" i="19"/>
  <c r="K79" i="19"/>
  <c r="K78" i="19"/>
  <c r="K77" i="19"/>
  <c r="L77" i="19" s="1"/>
  <c r="K76" i="19"/>
  <c r="K75" i="19"/>
  <c r="K71" i="19"/>
  <c r="K30" i="19" l="1"/>
  <c r="J50" i="19" l="1"/>
  <c r="K50" i="19" s="1"/>
  <c r="J49" i="19"/>
  <c r="K49" i="19" s="1"/>
  <c r="J48" i="19"/>
  <c r="K48" i="19" s="1"/>
  <c r="J47" i="19"/>
  <c r="K47" i="19" s="1"/>
  <c r="J46" i="19"/>
  <c r="K46" i="19" s="1"/>
  <c r="J28" i="19"/>
  <c r="K28" i="19" s="1"/>
  <c r="J27" i="19"/>
  <c r="K27" i="19" s="1"/>
  <c r="K29" i="19" s="1"/>
  <c r="J35" i="19" l="1"/>
  <c r="K35" i="19" s="1"/>
  <c r="J33" i="19"/>
  <c r="K33" i="19" s="1"/>
  <c r="J70" i="19" l="1"/>
  <c r="K70" i="19" s="1"/>
  <c r="J34" i="19"/>
  <c r="K34" i="19" s="1"/>
  <c r="J32" i="19"/>
  <c r="K32" i="19" s="1"/>
  <c r="J31" i="19"/>
  <c r="K31" i="19" s="1"/>
  <c r="K36" i="19" l="1"/>
  <c r="J132" i="19"/>
  <c r="J74" i="19"/>
  <c r="K74" i="19" s="1"/>
  <c r="L83" i="19" l="1"/>
  <c r="M83" i="19" s="1"/>
  <c r="I83" i="19"/>
  <c r="D20" i="30"/>
  <c r="D39" i="30" s="1"/>
  <c r="C12" i="30"/>
  <c r="C39" i="30" s="1"/>
  <c r="G72" i="19"/>
  <c r="G75" i="19"/>
  <c r="H59" i="19"/>
  <c r="H58" i="19"/>
  <c r="G58" i="19"/>
  <c r="G59" i="19"/>
  <c r="H69" i="19" l="1"/>
  <c r="H68" i="19"/>
  <c r="G35" i="19"/>
  <c r="G69" i="19" l="1"/>
  <c r="G34" i="19" l="1"/>
  <c r="G68" i="19" l="1"/>
  <c r="H75" i="19" l="1"/>
  <c r="G81" i="19"/>
  <c r="G37" i="19"/>
  <c r="G38" i="19" s="1"/>
  <c r="G33" i="19"/>
  <c r="G32" i="19"/>
  <c r="G31" i="19"/>
  <c r="G36" i="19" l="1"/>
  <c r="G28" i="19"/>
  <c r="G39" i="19" l="1"/>
  <c r="G40" i="19"/>
  <c r="G27" i="19" l="1"/>
  <c r="G29" i="19" s="1"/>
  <c r="D23" i="26" l="1"/>
  <c r="C23" i="26"/>
  <c r="B23" i="26"/>
  <c r="K137" i="19"/>
  <c r="J137" i="19"/>
  <c r="I137" i="19"/>
  <c r="C4" i="14"/>
  <c r="C3" i="14"/>
  <c r="N93" i="19"/>
  <c r="I47" i="26" l="1"/>
  <c r="E47" i="26"/>
  <c r="L39" i="19" l="1"/>
  <c r="M39" i="19" s="1"/>
  <c r="I39" i="19"/>
  <c r="D13" i="19" l="1"/>
  <c r="D12" i="19"/>
  <c r="D11" i="19"/>
  <c r="D10" i="19"/>
  <c r="D9" i="19"/>
  <c r="L136" i="19" l="1"/>
  <c r="L135" i="19"/>
  <c r="L133" i="19"/>
  <c r="L132" i="19"/>
  <c r="L130" i="19"/>
  <c r="L129" i="19"/>
  <c r="L127" i="19"/>
  <c r="L126" i="19"/>
  <c r="L124" i="19"/>
  <c r="L123" i="19"/>
  <c r="L121" i="19"/>
  <c r="L120" i="19"/>
  <c r="D8" i="19"/>
  <c r="D7" i="19"/>
  <c r="D6" i="19"/>
  <c r="L137" i="19" l="1"/>
  <c r="H47" i="26"/>
  <c r="G47" i="26"/>
  <c r="F47" i="26"/>
  <c r="C8" i="14"/>
  <c r="C7" i="14"/>
  <c r="N110" i="19"/>
  <c r="K110" i="19"/>
  <c r="J110" i="19"/>
  <c r="F109" i="19"/>
  <c r="L109" i="19"/>
  <c r="M109" i="19" s="1"/>
  <c r="I109" i="19"/>
  <c r="E7" i="14"/>
  <c r="I100" i="19"/>
  <c r="I99" i="19"/>
  <c r="I98" i="19"/>
  <c r="I92" i="19"/>
  <c r="I91" i="19"/>
  <c r="I90" i="19"/>
  <c r="I84" i="19"/>
  <c r="I82" i="19"/>
  <c r="I81" i="19"/>
  <c r="I80" i="19"/>
  <c r="I79" i="19"/>
  <c r="I78" i="19"/>
  <c r="I77" i="19"/>
  <c r="I76" i="19"/>
  <c r="I75" i="19"/>
  <c r="I74" i="19"/>
  <c r="I73" i="19"/>
  <c r="I72" i="19"/>
  <c r="I71" i="19"/>
  <c r="I70" i="19"/>
  <c r="I69" i="19"/>
  <c r="I68" i="19"/>
  <c r="L100" i="19"/>
  <c r="M100" i="19" s="1"/>
  <c r="L99" i="19"/>
  <c r="M99" i="19" s="1"/>
  <c r="L92" i="19"/>
  <c r="M92" i="19" s="1"/>
  <c r="L91" i="19"/>
  <c r="M91" i="19" s="1"/>
  <c r="L80" i="19"/>
  <c r="M80" i="19" s="1"/>
  <c r="L79" i="19"/>
  <c r="M79" i="19" s="1"/>
  <c r="L78" i="19"/>
  <c r="M78" i="19" s="1"/>
  <c r="M77" i="19"/>
  <c r="L76" i="19"/>
  <c r="M76" i="19" s="1"/>
  <c r="L75" i="19"/>
  <c r="M75" i="19" s="1"/>
  <c r="L74" i="19"/>
  <c r="M74" i="19" s="1"/>
  <c r="L73" i="19"/>
  <c r="M73" i="19" s="1"/>
  <c r="L72" i="19"/>
  <c r="M72" i="19" s="1"/>
  <c r="L71" i="19"/>
  <c r="M71" i="19" s="1"/>
  <c r="L70" i="19"/>
  <c r="M70" i="19" s="1"/>
  <c r="I59" i="19"/>
  <c r="L59" i="19"/>
  <c r="M59" i="19" s="1"/>
  <c r="I60" i="19"/>
  <c r="L60" i="19"/>
  <c r="M60" i="19" s="1"/>
  <c r="I61" i="19"/>
  <c r="L61" i="19"/>
  <c r="M61" i="19" s="1"/>
  <c r="I62" i="19"/>
  <c r="L62" i="19"/>
  <c r="M62" i="19" s="1"/>
  <c r="L47" i="19"/>
  <c r="L48" i="19"/>
  <c r="L49" i="19"/>
  <c r="L50" i="19"/>
  <c r="I51" i="19"/>
  <c r="L51" i="19"/>
  <c r="M51" i="19" s="1"/>
  <c r="I52" i="19"/>
  <c r="L52" i="19"/>
  <c r="M52" i="19" s="1"/>
  <c r="I27" i="19"/>
  <c r="I29" i="19" s="1"/>
  <c r="E8" i="14"/>
  <c r="I40" i="19"/>
  <c r="I35" i="19"/>
  <c r="I37" i="19"/>
  <c r="I38" i="19" s="1"/>
  <c r="I34" i="19"/>
  <c r="I33" i="19"/>
  <c r="I32" i="19"/>
  <c r="I31" i="19"/>
  <c r="I30" i="19"/>
  <c r="I28" i="19"/>
  <c r="G85" i="19"/>
  <c r="G9" i="19" s="1"/>
  <c r="L84" i="19"/>
  <c r="M84" i="19" s="1"/>
  <c r="L82" i="19"/>
  <c r="M82" i="19" s="1"/>
  <c r="L81" i="19"/>
  <c r="M81" i="19" s="1"/>
  <c r="L40" i="19"/>
  <c r="M40" i="19" s="1"/>
  <c r="L35" i="19"/>
  <c r="M35" i="19" s="1"/>
  <c r="L37" i="19"/>
  <c r="L34" i="19"/>
  <c r="M34" i="19" s="1"/>
  <c r="L33" i="19"/>
  <c r="M33" i="19" s="1"/>
  <c r="N6" i="19"/>
  <c r="N53" i="19"/>
  <c r="N7" i="19" s="1"/>
  <c r="N63" i="19"/>
  <c r="N8" i="19" s="1"/>
  <c r="N85" i="19"/>
  <c r="N9" i="19" s="1"/>
  <c r="J93" i="19"/>
  <c r="J10" i="19" s="1"/>
  <c r="K93" i="19"/>
  <c r="K10" i="19" s="1"/>
  <c r="N101" i="19"/>
  <c r="N11" i="19" s="1"/>
  <c r="L27" i="19"/>
  <c r="L28" i="19"/>
  <c r="M28" i="19" s="1"/>
  <c r="L30" i="19"/>
  <c r="L31" i="19"/>
  <c r="M31" i="19" s="1"/>
  <c r="L32" i="19"/>
  <c r="M32" i="19" s="1"/>
  <c r="L46" i="19"/>
  <c r="J6" i="19"/>
  <c r="D47" i="26"/>
  <c r="C47" i="26"/>
  <c r="B47" i="26"/>
  <c r="D32" i="26"/>
  <c r="C32" i="26"/>
  <c r="B32" i="26"/>
  <c r="B4" i="14"/>
  <c r="B3" i="14"/>
  <c r="G63" i="19"/>
  <c r="G8" i="19" s="1"/>
  <c r="G93" i="19"/>
  <c r="G10" i="19" s="1"/>
  <c r="G101" i="19"/>
  <c r="G11" i="19" s="1"/>
  <c r="H63" i="19"/>
  <c r="H8" i="19" s="1"/>
  <c r="H85" i="19"/>
  <c r="H9" i="19" s="1"/>
  <c r="H93" i="19"/>
  <c r="H10" i="19" s="1"/>
  <c r="H101" i="19"/>
  <c r="H11" i="19" s="1"/>
  <c r="L58" i="19"/>
  <c r="M58" i="19" s="1"/>
  <c r="I58" i="19"/>
  <c r="L69" i="19"/>
  <c r="M69" i="19" s="1"/>
  <c r="L108" i="19"/>
  <c r="K101" i="19"/>
  <c r="K11" i="19" s="1"/>
  <c r="J101" i="19"/>
  <c r="J11" i="19" s="1"/>
  <c r="L98" i="19"/>
  <c r="M98" i="19" s="1"/>
  <c r="L90" i="19"/>
  <c r="M90" i="19" s="1"/>
  <c r="L68" i="19"/>
  <c r="M68" i="19" s="1"/>
  <c r="K85" i="19"/>
  <c r="K9" i="19" s="1"/>
  <c r="J85" i="19"/>
  <c r="J9" i="19" s="1"/>
  <c r="K63" i="19"/>
  <c r="K8" i="19" s="1"/>
  <c r="J63" i="19"/>
  <c r="J8" i="19" s="1"/>
  <c r="K53" i="19"/>
  <c r="K7" i="19" s="1"/>
  <c r="J53" i="19"/>
  <c r="J7" i="19" s="1"/>
  <c r="K6" i="19"/>
  <c r="M37" i="19" l="1"/>
  <c r="L38" i="19"/>
  <c r="M38" i="19" s="1"/>
  <c r="M30" i="19"/>
  <c r="L36" i="19"/>
  <c r="M36" i="19" s="1"/>
  <c r="I36" i="19"/>
  <c r="M27" i="19"/>
  <c r="L29" i="19"/>
  <c r="M29" i="19" s="1"/>
  <c r="H6" i="19"/>
  <c r="M50" i="19"/>
  <c r="M48" i="19"/>
  <c r="H108" i="19"/>
  <c r="H110" i="19" s="1"/>
  <c r="H12" i="19" s="1"/>
  <c r="M47" i="19"/>
  <c r="M49" i="19"/>
  <c r="M46" i="19"/>
  <c r="G6" i="19"/>
  <c r="G50" i="19"/>
  <c r="G47" i="19"/>
  <c r="G108" i="19"/>
  <c r="G49" i="19"/>
  <c r="G46" i="19"/>
  <c r="G48" i="19"/>
  <c r="N12" i="19"/>
  <c r="J12" i="19"/>
  <c r="J112" i="19"/>
  <c r="J13" i="19" s="1"/>
  <c r="K12" i="19"/>
  <c r="K112" i="19"/>
  <c r="K13" i="19" s="1"/>
  <c r="E9" i="14"/>
  <c r="C9" i="14"/>
  <c r="I85" i="19"/>
  <c r="I9" i="19" s="1"/>
  <c r="I93" i="19"/>
  <c r="I10" i="19" s="1"/>
  <c r="N10" i="19"/>
  <c r="I63" i="19"/>
  <c r="I8" i="19" s="1"/>
  <c r="I6" i="19"/>
  <c r="L53" i="19"/>
  <c r="I101" i="19"/>
  <c r="L85" i="19"/>
  <c r="L110" i="19"/>
  <c r="L12" i="19" s="1"/>
  <c r="L63" i="19"/>
  <c r="M63" i="19" s="1"/>
  <c r="L93" i="19"/>
  <c r="L10" i="19" s="1"/>
  <c r="M10" i="19" s="1"/>
  <c r="L101" i="19"/>
  <c r="L6" i="19"/>
  <c r="I47" i="19" l="1"/>
  <c r="I49" i="19"/>
  <c r="M108" i="19"/>
  <c r="I50" i="19"/>
  <c r="H53" i="19"/>
  <c r="I48" i="19"/>
  <c r="G53" i="19"/>
  <c r="G7" i="19" s="1"/>
  <c r="I46" i="19"/>
  <c r="I108" i="19"/>
  <c r="I110" i="19" s="1"/>
  <c r="I12" i="19" s="1"/>
  <c r="G110" i="19"/>
  <c r="M12" i="19"/>
  <c r="N112" i="19"/>
  <c r="N13" i="19" s="1"/>
  <c r="I11" i="19"/>
  <c r="M101" i="19"/>
  <c r="L112" i="19"/>
  <c r="L13" i="19" s="1"/>
  <c r="L11" i="19"/>
  <c r="M11" i="19" s="1"/>
  <c r="M85" i="19"/>
  <c r="L9" i="19"/>
  <c r="M9" i="19" s="1"/>
  <c r="L7" i="19"/>
  <c r="M41" i="19"/>
  <c r="M93" i="19"/>
  <c r="L8" i="19"/>
  <c r="M8" i="19" s="1"/>
  <c r="M110" i="19"/>
  <c r="M6" i="19"/>
  <c r="B14" i="19" l="1"/>
  <c r="M137" i="19"/>
  <c r="H7" i="19"/>
  <c r="M7" i="19" s="1"/>
  <c r="H112" i="19"/>
  <c r="M112" i="19" s="1"/>
  <c r="I53" i="19"/>
  <c r="M53" i="19"/>
  <c r="G12" i="19"/>
  <c r="G112" i="19"/>
  <c r="G13" i="19" s="1"/>
  <c r="C50" i="26"/>
  <c r="E12" i="14"/>
  <c r="E15" i="14" s="1"/>
  <c r="F15" i="14" s="1"/>
  <c r="F12" i="14"/>
  <c r="I7" i="19" l="1"/>
  <c r="I112" i="19"/>
  <c r="I13" i="19" s="1"/>
  <c r="H13" i="19"/>
  <c r="F108" i="19"/>
  <c r="B50" i="26"/>
  <c r="C12" i="14"/>
  <c r="C15" i="14" s="1"/>
  <c r="E16" i="14"/>
  <c r="E18" i="14" s="1"/>
  <c r="N137" i="19"/>
  <c r="B15" i="19"/>
  <c r="D12" i="14" l="1"/>
  <c r="C16" i="14" s="1"/>
  <c r="D16" i="14" s="1"/>
  <c r="M13" i="19"/>
  <c r="D15" i="14"/>
  <c r="F16" i="14"/>
  <c r="F18" i="14"/>
  <c r="C18" i="14" l="1"/>
  <c r="D18" i="14" s="1"/>
</calcChain>
</file>

<file path=xl/sharedStrings.xml><?xml version="1.0" encoding="utf-8"?>
<sst xmlns="http://schemas.openxmlformats.org/spreadsheetml/2006/main" count="353" uniqueCount="239">
  <si>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</si>
  <si>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</si>
  <si>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</si>
  <si>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</si>
  <si>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</si>
  <si>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</si>
  <si>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</si>
  <si>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</si>
  <si>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</si>
  <si>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</si>
  <si>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</si>
  <si>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</si>
  <si>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</si>
  <si>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</si>
  <si>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</si>
  <si>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</si>
  <si>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</si>
  <si>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</si>
  <si>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</si>
  <si>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</si>
  <si>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</si>
  <si>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</si>
  <si>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</si>
  <si>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</si>
  <si>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</si>
  <si>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</si>
  <si>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</si>
  <si>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</si>
  <si>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</si>
  <si>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</si>
  <si>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</si>
  <si>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</si>
  <si>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</si>
  <si>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</si>
  <si>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</si>
  <si>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</si>
  <si>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</si>
  <si>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</si>
  <si>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</si>
  <si>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</si>
  <si>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</si>
  <si>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</si>
  <si>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</si>
  <si>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</si>
  <si>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</si>
  <si>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</si>
  <si>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</si>
  <si>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</si>
  <si>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WISE &amp; Healthy Aging</t>
  </si>
  <si>
    <t>PROGRAM NAME:</t>
  </si>
  <si>
    <t>Club WISE</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</si>
  <si>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</si>
  <si>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</si>
  <si>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</si>
  <si>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</si>
  <si>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</si>
  <si>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</si>
  <si>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</si>
  <si>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</si>
  <si>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</si>
  <si>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</si>
  <si>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</si>
  <si>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</si>
  <si>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</si>
  <si>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</si>
  <si>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</si>
  <si>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</si>
  <si>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</si>
  <si>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</si>
  <si>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</si>
  <si>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</si>
  <si>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Nikki Davis</t>
  </si>
  <si>
    <t>VP of Program Administration</t>
  </si>
  <si>
    <t>Cindy Muro</t>
  </si>
  <si>
    <t>Member Services Manager</t>
  </si>
  <si>
    <t>Danielle Brinney</t>
  </si>
  <si>
    <t>Member Services Specialist</t>
  </si>
  <si>
    <t>Dan Abrash</t>
  </si>
  <si>
    <t>Eaven Hardy</t>
  </si>
  <si>
    <t>Trenee Armstrong</t>
  </si>
  <si>
    <t>Member Services Coordinator</t>
  </si>
  <si>
    <t>Harrison Mitsanas</t>
  </si>
  <si>
    <t>Heidi Yates</t>
  </si>
  <si>
    <t>Front Office Specialist</t>
  </si>
  <si>
    <t>Susan Stenhouse</t>
  </si>
  <si>
    <t>1A.  Staff Salaries TOTAL</t>
  </si>
  <si>
    <t>1B.  Staff Fringe Benefits</t>
  </si>
  <si>
    <t>List each fringe benefit as a percentage of total staff salaries listed above (FICA, SUI, Workers’ Compensation, Medical Insurance, Retirement, etc.).</t>
  </si>
  <si>
    <t>Description</t>
  </si>
  <si>
    <t>FICA -7.65% of Gross Salary</t>
  </si>
  <si>
    <t>Worker's Compensation - 1% of Gross Salary</t>
  </si>
  <si>
    <t>SUI - .85% based on direct charges</t>
  </si>
  <si>
    <t>Health Benefits - 5 % of Gross Salary</t>
  </si>
  <si>
    <t>Retirement Benefits - .5% of Gross Salary</t>
  </si>
  <si>
    <t>1B.  Staff Fringe Benefits TOTAL</t>
  </si>
  <si>
    <t>2.  Consultant Services</t>
  </si>
  <si>
    <t>List each consultant to be funded. Include type of service, total budgeted expense, and any additional information to suport the use of consultants as opposed to staff or volunteers.</t>
  </si>
  <si>
    <t>Audit Fees - $248 /month  (rate 69.91 X 3.55 FTE = 248)  X  12 months = 2,978 annuually</t>
  </si>
  <si>
    <t>Payroll - $79 /month (rate 22.25 X 3.55 FTE =79)  X 12 months = $948 annually</t>
  </si>
  <si>
    <t>Contractors General - Contracted IT services to support the program and sub-contracted instructors.  $1,320/year ($110/month x 12 months)</t>
  </si>
  <si>
    <t>2.  Consultant Services TOTAL</t>
  </si>
  <si>
    <t>3.  Operating Expenses</t>
  </si>
  <si>
    <t>List all operating expenses [e.g., space/rent expense, utilities, facilitiy maintenance, equipment, insurance, office supplies, printing, audit fees, travel, training, etc.].</t>
  </si>
  <si>
    <t>Occupancy (Facility Fees: Utilities, etc % based on square footage, estimated at $105,000 * .1345)</t>
  </si>
  <si>
    <t>Security -  (% based on square footage, estimated at $57,200 x .1345)</t>
  </si>
  <si>
    <t>Janitorial -   (% based on square footage)</t>
  </si>
  <si>
    <t xml:space="preserve">Local Travel - based on mileage reimbursement  </t>
  </si>
  <si>
    <t xml:space="preserve">Insurance -  $178 /month (rate $50 X 3.55 FTE= $178)   X  12 months = $2,130 annually </t>
  </si>
  <si>
    <t xml:space="preserve">Office Supplies -  </t>
  </si>
  <si>
    <t>Program Supplies -  $1,200/Year  ($100 /Month x 12 months)</t>
  </si>
  <si>
    <t>Telephone -$190/Month (rate $53.39 X 3.55 FTE = $190)  X  12 months = $2,274 annually</t>
  </si>
  <si>
    <t>Postage &amp; Shipping -  $20.08 per month</t>
  </si>
  <si>
    <t>Copier Costs - $300/Year   ($25/ Month  x 12 months)</t>
  </si>
  <si>
    <t>Printing Costs - $300/Year   ($25/ Month  x 12 months)</t>
  </si>
  <si>
    <t>Advertising -  $5,000 annually</t>
  </si>
  <si>
    <t>Volunteer Instructor  Stipends -  $2,260/Year  ($188 /Month x 12 months)</t>
  </si>
  <si>
    <t xml:space="preserve">License Fees </t>
  </si>
  <si>
    <t>Hiring Fees - $360/Year ($30/ Month x 12 months)</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</si>
  <si>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</si>
  <si>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</si>
  <si>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</si>
  <si>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</si>
  <si>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</si>
  <si>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</si>
  <si>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</si>
  <si>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</si>
  <si>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</si>
  <si>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</si>
  <si>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</si>
  <si>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</si>
  <si>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</si>
  <si>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</si>
  <si>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</si>
  <si>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</si>
  <si>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</si>
  <si>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</si>
  <si>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</si>
  <si>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</si>
  <si>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</si>
  <si>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</si>
  <si>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</si>
  <si>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</si>
  <si>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</si>
  <si>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</si>
  <si>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</si>
  <si>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</si>
  <si>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4.  Fundraising Events</t>
  </si>
  <si>
    <t>5.  Fees for Service</t>
  </si>
  <si>
    <t>Program Income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</si>
  <si>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</si>
  <si>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</si>
  <si>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</si>
  <si>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</si>
  <si>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</si>
  <si>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</si>
  <si>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</si>
  <si>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</si>
  <si>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</si>
  <si>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</si>
  <si>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</si>
  <si>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</si>
  <si>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</si>
  <si>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</si>
  <si>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</si>
  <si>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</si>
  <si>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</si>
  <si>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</si>
  <si>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</si>
  <si>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</si>
  <si>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</si>
  <si>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</si>
  <si>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</si>
  <si>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</si>
  <si>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</si>
  <si>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</si>
  <si>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</si>
  <si>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</si>
  <si>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</si>
  <si>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</si>
  <si>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</si>
  <si>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</si>
  <si>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</si>
  <si>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</si>
  <si>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</si>
  <si>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</si>
  <si>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</si>
  <si>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</si>
  <si>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</si>
  <si>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</si>
  <si>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</si>
  <si>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</si>
  <si>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</si>
  <si>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</si>
  <si>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</si>
  <si>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</si>
  <si>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</si>
  <si>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</si>
  <si>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</si>
  <si>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</si>
  <si>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</si>
  <si>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</si>
  <si>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</si>
  <si>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</si>
  <si>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</si>
  <si>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</si>
  <si>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</si>
  <si>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</si>
  <si>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</si>
  <si>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</si>
  <si>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</si>
  <si>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</si>
  <si>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</si>
  <si>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</si>
  <si>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</si>
  <si>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</si>
  <si>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NO MATCH REQUIREMENT</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</si>
  <si>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</si>
  <si>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</si>
  <si>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</si>
  <si>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</si>
  <si>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</si>
  <si>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</si>
  <si>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</si>
  <si>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</si>
  <si>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 xml:space="preserve">City </t>
  </si>
  <si>
    <t>City of Los Angeles</t>
  </si>
  <si>
    <t>County</t>
  </si>
  <si>
    <t>County of Los Angeles</t>
  </si>
  <si>
    <t xml:space="preserve">Federal </t>
  </si>
  <si>
    <t>DHHS  (ACL)</t>
  </si>
  <si>
    <t>CALOES</t>
  </si>
  <si>
    <t>Gogian Foundation</t>
  </si>
  <si>
    <t>Kaiser Foundation</t>
  </si>
  <si>
    <t>Parson's</t>
  </si>
  <si>
    <t>St. John's / Providence</t>
  </si>
  <si>
    <t>Contributions</t>
  </si>
  <si>
    <t>Program Income ADSC</t>
  </si>
  <si>
    <t>Program Income Other</t>
  </si>
  <si>
    <t>Program Income Care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</si>
</sst>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7"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
      <sz val="10"/>
      <color theme="1"/>
      <name val="Arial"/>
      <family val="2"/>
    </font>
  </fonts>
  <fills count="14">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0000"/>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35">
    <xf numFmtId="0" fontId="0" fillId="0" borderId="0" xfId="0"/>
    <xf numFmtId="0" fontId="1" fillId="0" borderId="0" xfId="3"/>
    <xf numFmtId="9" fontId="3" fillId="3" borderId="2" xfId="5" applyFont="1" applyFill="1" applyBorder="1" applyAlignment="1" applyProtection="1">
      <alignment horizontal="center"/>
    </xf>
    <xf numFmtId="166" fontId="7" fillId="3" borderId="9" xfId="1" applyNumberFormat="1" applyFont="1" applyFill="1" applyBorder="1" applyAlignment="1" applyProtection="1">
      <alignment horizontal="center"/>
    </xf>
    <xf numFmtId="9" fontId="7" fillId="3" borderId="10" xfId="5" applyFont="1" applyFill="1" applyBorder="1" applyAlignment="1" applyProtection="1">
      <alignment horizontal="center"/>
    </xf>
    <xf numFmtId="166" fontId="7" fillId="3" borderId="7" xfId="1" applyNumberFormat="1" applyFont="1" applyFill="1" applyBorder="1" applyAlignment="1" applyProtection="1">
      <alignment horizontal="center"/>
    </xf>
    <xf numFmtId="9" fontId="7" fillId="3"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3" borderId="24" xfId="5" applyFont="1" applyFill="1" applyBorder="1" applyAlignment="1" applyProtection="1">
      <alignment horizontal="center"/>
    </xf>
    <xf numFmtId="164" fontId="12" fillId="3" borderId="0" xfId="2" applyNumberFormat="1" applyFont="1" applyFill="1" applyBorder="1" applyProtection="1"/>
    <xf numFmtId="9" fontId="12" fillId="3" borderId="0" xfId="5" applyFont="1" applyFill="1" applyBorder="1" applyAlignment="1" applyProtection="1">
      <alignment horizontal="center"/>
    </xf>
    <xf numFmtId="44" fontId="12" fillId="3" borderId="7" xfId="2" applyFont="1" applyFill="1" applyBorder="1" applyProtection="1"/>
    <xf numFmtId="0" fontId="13" fillId="0" borderId="0" xfId="3" applyFont="1"/>
    <xf numFmtId="164" fontId="4" fillId="2"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4" borderId="11" xfId="3" applyNumberFormat="1" applyFont="1" applyFill="1" applyBorder="1" applyAlignment="1">
      <alignment horizontal="center"/>
    </xf>
    <xf numFmtId="41" fontId="19" fillId="4" borderId="10" xfId="3" applyNumberFormat="1" applyFont="1" applyFill="1" applyBorder="1" applyAlignment="1">
      <alignment horizontal="center" wrapText="1"/>
    </xf>
    <xf numFmtId="0" fontId="1" fillId="4" borderId="9" xfId="3" applyFill="1" applyBorder="1"/>
    <xf numFmtId="0" fontId="4" fillId="6" borderId="8" xfId="3" applyFont="1" applyFill="1" applyBorder="1"/>
    <xf numFmtId="0" fontId="4" fillId="2" borderId="0" xfId="3" applyFont="1" applyFill="1" applyAlignment="1">
      <alignment horizontal="center"/>
    </xf>
    <xf numFmtId="0" fontId="4" fillId="6" borderId="0" xfId="3" applyFont="1" applyFill="1" applyAlignment="1">
      <alignment horizontal="center"/>
    </xf>
    <xf numFmtId="0" fontId="18" fillId="6" borderId="7" xfId="3" applyFont="1" applyFill="1" applyBorder="1"/>
    <xf numFmtId="9" fontId="4" fillId="2" borderId="8" xfId="3" applyNumberFormat="1" applyFont="1" applyFill="1" applyBorder="1"/>
    <xf numFmtId="9" fontId="4" fillId="2" borderId="0" xfId="3" applyNumberFormat="1" applyFont="1" applyFill="1" applyAlignment="1">
      <alignment horizontal="center"/>
    </xf>
    <xf numFmtId="9" fontId="4" fillId="6" borderId="0" xfId="3" applyNumberFormat="1" applyFont="1" applyFill="1" applyAlignment="1">
      <alignment horizontal="center"/>
    </xf>
    <xf numFmtId="41" fontId="5" fillId="4" borderId="8" xfId="3" applyNumberFormat="1" applyFont="1" applyFill="1" applyBorder="1" applyAlignment="1">
      <alignment horizontal="center"/>
    </xf>
    <xf numFmtId="164" fontId="4" fillId="6" borderId="0" xfId="2" applyNumberFormat="1" applyFont="1" applyFill="1" applyBorder="1" applyAlignment="1" applyProtection="1">
      <alignment horizontal="right"/>
    </xf>
    <xf numFmtId="164" fontId="4" fillId="6" borderId="7" xfId="2" applyNumberFormat="1" applyFont="1" applyFill="1" applyBorder="1" applyAlignment="1" applyProtection="1">
      <alignment horizontal="right"/>
    </xf>
    <xf numFmtId="165" fontId="4" fillId="2" borderId="0" xfId="3" applyNumberFormat="1" applyFont="1" applyFill="1" applyAlignment="1">
      <alignment horizontal="center"/>
    </xf>
    <xf numFmtId="164" fontId="4" fillId="6" borderId="0" xfId="2" applyNumberFormat="1" applyFont="1" applyFill="1" applyBorder="1" applyAlignment="1" applyProtection="1">
      <alignment horizontal="center"/>
    </xf>
    <xf numFmtId="165" fontId="4" fillId="2" borderId="7" xfId="3" applyNumberFormat="1" applyFont="1" applyFill="1" applyBorder="1" applyAlignment="1">
      <alignment horizontal="center"/>
    </xf>
    <xf numFmtId="0" fontId="3" fillId="9" borderId="3" xfId="3" applyFont="1" applyFill="1" applyBorder="1"/>
    <xf numFmtId="165" fontId="3" fillId="9" borderId="2" xfId="3" applyNumberFormat="1" applyFont="1" applyFill="1" applyBorder="1" applyAlignment="1">
      <alignment horizontal="center"/>
    </xf>
    <xf numFmtId="165" fontId="3" fillId="9" borderId="1" xfId="3" applyNumberFormat="1" applyFont="1" applyFill="1" applyBorder="1" applyAlignment="1">
      <alignment horizontal="center"/>
    </xf>
    <xf numFmtId="0" fontId="18" fillId="6" borderId="0" xfId="3" applyFont="1" applyFill="1" applyAlignment="1">
      <alignment horizontal="center"/>
    </xf>
    <xf numFmtId="9" fontId="7" fillId="3" borderId="33" xfId="5" applyFont="1" applyFill="1" applyBorder="1" applyAlignment="1" applyProtection="1">
      <alignment horizontal="center"/>
    </xf>
    <xf numFmtId="166" fontId="7" fillId="3" borderId="34" xfId="1" applyNumberFormat="1" applyFont="1" applyFill="1" applyBorder="1" applyAlignment="1" applyProtection="1">
      <alignment horizontal="center"/>
    </xf>
    <xf numFmtId="166" fontId="7" fillId="3" borderId="39" xfId="1" applyNumberFormat="1" applyFont="1" applyFill="1" applyBorder="1" applyAlignment="1" applyProtection="1">
      <alignment horizontal="center"/>
    </xf>
    <xf numFmtId="9" fontId="2" fillId="3" borderId="42" xfId="5" applyFont="1" applyFill="1" applyBorder="1" applyAlignment="1" applyProtection="1">
      <alignment horizontal="center"/>
    </xf>
    <xf numFmtId="9" fontId="2" fillId="4" borderId="2" xfId="5" applyFont="1" applyFill="1" applyBorder="1" applyAlignment="1" applyProtection="1"/>
    <xf numFmtId="9" fontId="12" fillId="3" borderId="0" xfId="5" applyFont="1" applyFill="1" applyBorder="1" applyProtection="1"/>
    <xf numFmtId="165" fontId="4" fillId="2" borderId="0" xfId="5" applyNumberFormat="1" applyFont="1" applyFill="1" applyBorder="1" applyAlignment="1" applyProtection="1">
      <alignment horizontal="center"/>
    </xf>
    <xf numFmtId="0" fontId="2" fillId="0" borderId="0" xfId="3" applyFont="1" applyAlignment="1">
      <alignment horizontal="center"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3" borderId="17" xfId="5" applyFont="1" applyFill="1" applyBorder="1" applyAlignment="1" applyProtection="1">
      <alignment horizontal="center"/>
    </xf>
    <xf numFmtId="42" fontId="2" fillId="3" borderId="42" xfId="2" applyNumberFormat="1" applyFont="1" applyFill="1" applyBorder="1" applyProtection="1"/>
    <xf numFmtId="42" fontId="2" fillId="3"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3" borderId="24" xfId="2" applyNumberFormat="1" applyFont="1" applyFill="1" applyBorder="1" applyProtection="1"/>
    <xf numFmtId="42" fontId="2" fillId="3" borderId="25" xfId="2" applyNumberFormat="1" applyFont="1" applyFill="1" applyBorder="1" applyProtection="1"/>
    <xf numFmtId="42" fontId="1" fillId="0" borderId="22" xfId="2" applyNumberFormat="1" applyFont="1" applyFill="1" applyBorder="1" applyProtection="1"/>
    <xf numFmtId="42" fontId="2" fillId="3" borderId="17" xfId="2" applyNumberFormat="1" applyFont="1" applyFill="1" applyBorder="1" applyProtection="1"/>
    <xf numFmtId="42" fontId="2" fillId="3" borderId="60" xfId="2" applyNumberFormat="1" applyFont="1" applyFill="1" applyBorder="1" applyProtection="1"/>
    <xf numFmtId="42" fontId="3" fillId="3" borderId="2" xfId="2" applyNumberFormat="1" applyFont="1" applyFill="1" applyBorder="1" applyProtection="1"/>
    <xf numFmtId="42" fontId="3" fillId="3" borderId="1" xfId="2" applyNumberFormat="1" applyFont="1" applyFill="1" applyBorder="1" applyProtection="1"/>
    <xf numFmtId="42" fontId="1" fillId="0" borderId="21" xfId="2" applyNumberFormat="1" applyFont="1" applyBorder="1" applyProtection="1"/>
    <xf numFmtId="42" fontId="3" fillId="7" borderId="30" xfId="2" applyNumberFormat="1" applyFont="1" applyFill="1" applyBorder="1" applyProtection="1"/>
    <xf numFmtId="42" fontId="3" fillId="7" borderId="17" xfId="2" applyNumberFormat="1" applyFont="1" applyFill="1" applyBorder="1" applyAlignment="1" applyProtection="1">
      <alignment horizontal="center"/>
    </xf>
    <xf numFmtId="42" fontId="3" fillId="7" borderId="31" xfId="2" applyNumberFormat="1" applyFont="1" applyFill="1" applyBorder="1" applyProtection="1"/>
    <xf numFmtId="42" fontId="1" fillId="0" borderId="12" xfId="2" applyNumberFormat="1" applyFont="1" applyFill="1" applyBorder="1" applyProtection="1"/>
    <xf numFmtId="0" fontId="1" fillId="6" borderId="26" xfId="2" applyNumberFormat="1" applyFont="1" applyFill="1" applyBorder="1" applyProtection="1"/>
    <xf numFmtId="42" fontId="1" fillId="6" borderId="44" xfId="2" applyNumberFormat="1" applyFont="1" applyFill="1" applyBorder="1" applyProtection="1"/>
    <xf numFmtId="42" fontId="4" fillId="11"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6" borderId="0" xfId="2" applyNumberFormat="1" applyFont="1" applyFill="1" applyBorder="1" applyAlignment="1" applyProtection="1">
      <alignment horizontal="right"/>
    </xf>
    <xf numFmtId="42" fontId="4" fillId="6" borderId="7" xfId="2" applyNumberFormat="1" applyFont="1" applyFill="1" applyBorder="1" applyAlignment="1" applyProtection="1">
      <alignment horizontal="right"/>
    </xf>
    <xf numFmtId="42" fontId="4" fillId="2" borderId="0" xfId="2" applyNumberFormat="1" applyFont="1" applyFill="1" applyBorder="1" applyAlignment="1" applyProtection="1">
      <alignment horizontal="center"/>
    </xf>
    <xf numFmtId="42" fontId="4" fillId="6" borderId="0" xfId="2" applyNumberFormat="1" applyFont="1" applyFill="1" applyBorder="1" applyAlignment="1" applyProtection="1">
      <alignment horizontal="center"/>
    </xf>
    <xf numFmtId="42" fontId="3" fillId="9" borderId="2" xfId="2" applyNumberFormat="1" applyFont="1" applyFill="1" applyBorder="1" applyAlignment="1" applyProtection="1">
      <alignment horizontal="center"/>
    </xf>
    <xf numFmtId="165" fontId="4" fillId="6" borderId="0" xfId="3" applyNumberFormat="1" applyFont="1" applyFill="1" applyAlignment="1">
      <alignment horizontal="center"/>
    </xf>
    <xf numFmtId="164" fontId="30" fillId="0" borderId="0" xfId="2" applyNumberFormat="1" applyFont="1" applyBorder="1" applyAlignment="1" applyProtection="1">
      <alignment horizontal="center" wrapText="1"/>
    </xf>
    <xf numFmtId="42" fontId="4" fillId="11"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8" borderId="18"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6" fillId="0" borderId="0" xfId="3" applyFont="1" applyAlignment="1">
      <alignment vertical="top"/>
    </xf>
    <xf numFmtId="0" fontId="27" fillId="0" borderId="12" xfId="3" applyFont="1" applyBorder="1" applyAlignment="1">
      <alignment horizontal="justify" vertical="center" wrapText="1"/>
    </xf>
    <xf numFmtId="0" fontId="1" fillId="0" borderId="12" xfId="3" applyBorder="1"/>
    <xf numFmtId="0" fontId="3" fillId="12" borderId="15" xfId="3" applyFont="1" applyFill="1" applyBorder="1" applyAlignment="1">
      <alignment horizontal="center" wrapText="1"/>
    </xf>
    <xf numFmtId="0" fontId="30" fillId="0" borderId="0" xfId="3" applyFont="1" applyAlignment="1">
      <alignment horizontal="center" wrapText="1"/>
    </xf>
    <xf numFmtId="0" fontId="17" fillId="0" borderId="0" xfId="3" applyFont="1" applyAlignment="1">
      <alignment horizontal="center" wrapText="1"/>
    </xf>
    <xf numFmtId="0" fontId="30" fillId="0" borderId="0" xfId="3" applyFont="1"/>
    <xf numFmtId="0" fontId="29"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1" borderId="0" xfId="3" applyFont="1" applyFill="1"/>
    <xf numFmtId="0" fontId="4" fillId="11" borderId="12" xfId="3" applyFont="1" applyFill="1" applyBorder="1"/>
    <xf numFmtId="0" fontId="4" fillId="11" borderId="15" xfId="3" applyFont="1" applyFill="1" applyBorder="1"/>
    <xf numFmtId="0" fontId="4" fillId="0" borderId="0" xfId="3" applyFont="1"/>
    <xf numFmtId="0" fontId="4" fillId="0" borderId="0" xfId="3" applyFont="1" applyAlignment="1">
      <alignment wrapText="1"/>
    </xf>
    <xf numFmtId="0" fontId="4" fillId="0" borderId="48" xfId="3" applyFont="1" applyBorder="1"/>
    <xf numFmtId="0" fontId="1" fillId="0" borderId="0" xfId="3" applyAlignment="1">
      <alignment wrapText="1"/>
    </xf>
    <xf numFmtId="0" fontId="1" fillId="0" borderId="48" xfId="3" applyBorder="1"/>
    <xf numFmtId="42" fontId="3" fillId="11" borderId="12" xfId="3" applyNumberFormat="1" applyFont="1" applyFill="1" applyBorder="1"/>
    <xf numFmtId="0" fontId="1" fillId="11" borderId="12" xfId="3" applyFill="1" applyBorder="1"/>
    <xf numFmtId="0" fontId="1" fillId="0" borderId="0" xfId="3" applyAlignment="1">
      <alignment horizontal="left" wrapText="1"/>
    </xf>
    <xf numFmtId="42" fontId="1" fillId="11" borderId="21" xfId="2" applyNumberFormat="1" applyFont="1" applyFill="1" applyBorder="1" applyProtection="1"/>
    <xf numFmtId="10" fontId="1" fillId="11" borderId="26" xfId="5" applyNumberFormat="1" applyFont="1" applyFill="1" applyBorder="1" applyAlignment="1" applyProtection="1">
      <alignment horizontal="left" vertical="top" wrapText="1"/>
    </xf>
    <xf numFmtId="42" fontId="1" fillId="11" borderId="22" xfId="2" applyNumberFormat="1" applyFont="1" applyFill="1" applyBorder="1" applyProtection="1"/>
    <xf numFmtId="49" fontId="1" fillId="11" borderId="44" xfId="5" applyNumberFormat="1" applyFont="1" applyFill="1" applyBorder="1" applyAlignment="1" applyProtection="1">
      <alignment horizontal="left" vertical="top" wrapText="1"/>
    </xf>
    <xf numFmtId="49" fontId="1" fillId="11" borderId="51" xfId="5" applyNumberFormat="1" applyFont="1" applyFill="1" applyBorder="1" applyAlignment="1" applyProtection="1">
      <alignment horizontal="left" vertical="top" wrapText="1"/>
    </xf>
    <xf numFmtId="164" fontId="1" fillId="11" borderId="21" xfId="2" applyNumberFormat="1" applyFont="1" applyFill="1" applyBorder="1" applyProtection="1"/>
    <xf numFmtId="164" fontId="1" fillId="11" borderId="22" xfId="2" applyNumberFormat="1" applyFont="1" applyFill="1" applyBorder="1" applyProtection="1"/>
    <xf numFmtId="49" fontId="1" fillId="11" borderId="54" xfId="5" applyNumberFormat="1" applyFont="1" applyFill="1" applyBorder="1" applyAlignment="1" applyProtection="1">
      <alignment horizontal="left" vertical="top" wrapText="1"/>
    </xf>
    <xf numFmtId="49" fontId="1" fillId="11" borderId="58" xfId="5" applyNumberFormat="1" applyFont="1" applyFill="1" applyBorder="1" applyAlignment="1" applyProtection="1">
      <alignment horizontal="left" vertical="top" wrapText="1"/>
    </xf>
    <xf numFmtId="49" fontId="1" fillId="11" borderId="59" xfId="5" applyNumberFormat="1" applyFont="1" applyFill="1" applyBorder="1" applyAlignment="1" applyProtection="1">
      <alignment horizontal="left" vertical="top" wrapText="1"/>
    </xf>
    <xf numFmtId="0" fontId="1" fillId="11" borderId="26" xfId="2" applyNumberFormat="1" applyFont="1" applyFill="1" applyBorder="1" applyProtection="1"/>
    <xf numFmtId="0" fontId="3" fillId="13" borderId="18" xfId="3" applyFont="1" applyFill="1" applyBorder="1" applyAlignment="1">
      <alignment horizontal="center" wrapText="1"/>
    </xf>
    <xf numFmtId="42" fontId="1" fillId="5" borderId="21" xfId="2" applyNumberFormat="1" applyFont="1" applyFill="1" applyBorder="1" applyProtection="1"/>
    <xf numFmtId="42" fontId="1" fillId="5" borderId="22" xfId="2" applyNumberFormat="1" applyFont="1" applyFill="1" applyBorder="1" applyProtection="1"/>
    <xf numFmtId="42" fontId="1" fillId="5" borderId="19" xfId="2" applyNumberFormat="1" applyFont="1" applyFill="1" applyBorder="1" applyProtection="1"/>
    <xf numFmtId="9" fontId="36" fillId="0" borderId="21" xfId="5" applyFont="1" applyFill="1" applyBorder="1" applyAlignment="1" applyProtection="1">
      <alignment horizontal="center"/>
    </xf>
    <xf numFmtId="0" fontId="3" fillId="0" borderId="0" xfId="3" applyFont="1"/>
    <xf numFmtId="41" fontId="19" fillId="4" borderId="0" xfId="3" applyNumberFormat="1" applyFont="1" applyFill="1" applyAlignment="1">
      <alignment horizontal="center" wrapText="1"/>
    </xf>
    <xf numFmtId="41" fontId="19" fillId="4" borderId="7" xfId="3" applyNumberFormat="1" applyFont="1" applyFill="1" applyBorder="1" applyAlignment="1">
      <alignment horizontal="center" wrapText="1"/>
    </xf>
    <xf numFmtId="0" fontId="13" fillId="0" borderId="0" xfId="3" applyFont="1" applyAlignment="1">
      <alignment vertical="top"/>
    </xf>
    <xf numFmtId="0" fontId="3" fillId="12" borderId="12" xfId="3" applyFont="1" applyFill="1" applyBorder="1" applyAlignment="1">
      <alignment horizontal="center" wrapText="1"/>
    </xf>
    <xf numFmtId="166" fontId="8" fillId="6" borderId="39" xfId="1" applyNumberFormat="1" applyFont="1" applyFill="1" applyBorder="1" applyAlignment="1" applyProtection="1">
      <alignment horizontal="center" wrapText="1"/>
    </xf>
    <xf numFmtId="42" fontId="1" fillId="6" borderId="23" xfId="2" applyNumberFormat="1" applyFont="1" applyFill="1" applyBorder="1" applyProtection="1"/>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0" fillId="3" borderId="14" xfId="3" applyFont="1" applyFill="1" applyBorder="1" applyAlignment="1" applyProtection="1">
      <alignment horizontal="left" vertical="center" wrapText="1"/>
    </xf>
    <xf numFmtId="0" fontId="20" fillId="3"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1" borderId="14" xfId="3" applyNumberFormat="1" applyFont="1" applyFill="1" applyBorder="1" applyAlignment="1" applyProtection="1">
      <alignment horizontal="center" vertical="center" wrapText="1"/>
    </xf>
    <xf numFmtId="1" fontId="4" fillId="5"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1" fillId="0" borderId="14" xfId="3" applyFont="1" applyBorder="1" applyAlignment="1" applyProtection="1">
      <alignment horizontal="right" vertical="center"/>
    </xf>
    <xf numFmtId="1" fontId="21" fillId="5" borderId="14" xfId="3" applyNumberFormat="1" applyFont="1" applyFill="1" applyBorder="1" applyAlignment="1" applyProtection="1">
      <alignment vertical="center" wrapText="1"/>
    </xf>
    <xf numFmtId="1" fontId="21" fillId="5" borderId="14" xfId="3" applyNumberFormat="1" applyFont="1" applyFill="1" applyBorder="1" applyAlignment="1" applyProtection="1">
      <alignment horizontal="center" vertical="center" wrapText="1"/>
    </xf>
    <xf numFmtId="0" fontId="21" fillId="0" borderId="14" xfId="3" quotePrefix="1" applyFont="1" applyBorder="1" applyAlignment="1" applyProtection="1">
      <alignment horizontal="right" vertical="center"/>
    </xf>
    <xf numFmtId="1" fontId="21" fillId="5" borderId="14" xfId="3" quotePrefix="1" applyNumberFormat="1" applyFont="1" applyFill="1" applyBorder="1" applyAlignment="1" applyProtection="1">
      <alignment vertical="center" wrapText="1"/>
    </xf>
    <xf numFmtId="0" fontId="20" fillId="0" borderId="14" xfId="3" applyFont="1" applyBorder="1" applyAlignment="1" applyProtection="1">
      <alignment horizontal="right" vertical="center"/>
    </xf>
    <xf numFmtId="1" fontId="20"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0" fillId="3" borderId="45" xfId="3" applyFont="1" applyFill="1" applyBorder="1" applyAlignment="1" applyProtection="1">
      <alignment horizontal="center" vertical="center" wrapText="1"/>
    </xf>
    <xf numFmtId="0" fontId="20" fillId="3" borderId="46" xfId="3" applyFont="1" applyFill="1" applyBorder="1" applyAlignment="1" applyProtection="1">
      <alignment horizontal="center" vertical="center" wrapText="1"/>
    </xf>
    <xf numFmtId="0" fontId="4" fillId="0" borderId="0" xfId="3" applyFont="1" applyAlignment="1" applyProtection="1">
      <alignment horizontal="center" vertical="center"/>
    </xf>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4" borderId="3" xfId="3" applyFont="1" applyFill="1" applyBorder="1" applyProtection="1"/>
    <xf numFmtId="0" fontId="2" fillId="4" borderId="2" xfId="3" applyFont="1" applyFill="1" applyBorder="1" applyProtection="1"/>
    <xf numFmtId="0" fontId="2" fillId="4"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1" borderId="12" xfId="3" applyNumberFormat="1" applyFont="1" applyFill="1" applyBorder="1" applyProtection="1"/>
    <xf numFmtId="0" fontId="1" fillId="0" borderId="0" xfId="3" applyAlignment="1" applyProtection="1">
      <alignment horizontal="left" indent="1"/>
    </xf>
    <xf numFmtId="49" fontId="2" fillId="11" borderId="15" xfId="3" applyNumberFormat="1" applyFont="1" applyFill="1" applyBorder="1" applyProtection="1"/>
    <xf numFmtId="0" fontId="1" fillId="0" borderId="8" xfId="3" applyBorder="1" applyProtection="1"/>
    <xf numFmtId="0" fontId="2" fillId="0" borderId="8" xfId="3" applyFont="1" applyBorder="1" applyProtection="1"/>
    <xf numFmtId="0" fontId="12" fillId="11" borderId="12" xfId="3" applyFont="1" applyFill="1" applyBorder="1" applyProtection="1"/>
    <xf numFmtId="42" fontId="1" fillId="5"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3" borderId="32" xfId="3" applyFont="1" applyFill="1" applyBorder="1" applyAlignment="1" applyProtection="1">
      <alignment wrapText="1"/>
    </xf>
    <xf numFmtId="0" fontId="2" fillId="3" borderId="33" xfId="3" applyFont="1" applyFill="1" applyBorder="1" applyProtection="1"/>
    <xf numFmtId="0" fontId="1" fillId="3" borderId="33" xfId="3" applyFill="1" applyBorder="1" applyProtection="1"/>
    <xf numFmtId="0" fontId="7" fillId="3" borderId="33" xfId="3" applyFont="1" applyFill="1" applyBorder="1" applyAlignment="1" applyProtection="1">
      <alignment horizontal="center"/>
    </xf>
    <xf numFmtId="0" fontId="12" fillId="3" borderId="35" xfId="3" applyFont="1" applyFill="1" applyBorder="1" applyProtection="1"/>
    <xf numFmtId="0" fontId="7" fillId="3" borderId="0" xfId="3" applyFont="1" applyFill="1" applyProtection="1"/>
    <xf numFmtId="0" fontId="12" fillId="3" borderId="0" xfId="3" applyFont="1" applyFill="1" applyProtection="1"/>
    <xf numFmtId="0" fontId="7" fillId="3"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49" fontId="1" fillId="11" borderId="40" xfId="0" applyNumberFormat="1" applyFont="1" applyFill="1" applyBorder="1" applyAlignment="1" applyProtection="1">
      <alignment horizontal="left" vertical="top"/>
    </xf>
    <xf numFmtId="49" fontId="1" fillId="11" borderId="21" xfId="0" applyNumberFormat="1" applyFont="1" applyFill="1" applyBorder="1" applyAlignment="1" applyProtection="1">
      <alignment horizontal="left" vertical="top"/>
    </xf>
    <xf numFmtId="49" fontId="1" fillId="11" borderId="21" xfId="0" applyNumberFormat="1" applyFont="1" applyFill="1" applyBorder="1" applyAlignment="1" applyProtection="1">
      <alignment horizontal="center" vertical="top" shrinkToFit="1"/>
    </xf>
    <xf numFmtId="170" fontId="1" fillId="11" borderId="21" xfId="0" applyNumberFormat="1" applyFont="1" applyFill="1" applyBorder="1" applyAlignment="1" applyProtection="1">
      <alignment horizontal="center" vertical="top" shrinkToFit="1"/>
    </xf>
    <xf numFmtId="9" fontId="1" fillId="11" borderId="21" xfId="0" applyNumberFormat="1" applyFont="1" applyFill="1" applyBorder="1" applyAlignment="1" applyProtection="1">
      <alignment horizontal="center" vertical="top" shrinkToFit="1"/>
    </xf>
    <xf numFmtId="1" fontId="1" fillId="11" borderId="21" xfId="0" applyNumberFormat="1" applyFont="1" applyFill="1" applyBorder="1" applyAlignment="1" applyProtection="1">
      <alignment horizontal="center" vertical="top" shrinkToFit="1"/>
    </xf>
    <xf numFmtId="42" fontId="1" fillId="0" borderId="21" xfId="3" applyNumberFormat="1" applyBorder="1" applyProtection="1"/>
    <xf numFmtId="42" fontId="1" fillId="5" borderId="36" xfId="3" applyNumberFormat="1" applyFill="1" applyBorder="1" applyProtection="1"/>
    <xf numFmtId="49" fontId="1" fillId="11" borderId="22" xfId="0" applyNumberFormat="1" applyFont="1" applyFill="1" applyBorder="1" applyAlignment="1" applyProtection="1">
      <alignment horizontal="center" vertical="top" shrinkToFit="1"/>
    </xf>
    <xf numFmtId="170" fontId="1" fillId="11" borderId="22" xfId="0" applyNumberFormat="1" applyFont="1" applyFill="1" applyBorder="1" applyAlignment="1" applyProtection="1">
      <alignment horizontal="center" vertical="top" shrinkToFit="1"/>
    </xf>
    <xf numFmtId="9" fontId="1" fillId="11" borderId="22" xfId="0" applyNumberFormat="1" applyFont="1" applyFill="1" applyBorder="1" applyAlignment="1" applyProtection="1">
      <alignment horizontal="center" vertical="top" shrinkToFit="1"/>
    </xf>
    <xf numFmtId="1" fontId="1" fillId="11" borderId="22" xfId="0" applyNumberFormat="1" applyFont="1" applyFill="1" applyBorder="1" applyAlignment="1" applyProtection="1">
      <alignment horizontal="center" vertical="top" shrinkToFit="1"/>
    </xf>
    <xf numFmtId="0" fontId="1" fillId="0" borderId="37" xfId="3" applyBorder="1" applyProtection="1"/>
    <xf numFmtId="0" fontId="1" fillId="0" borderId="38" xfId="3" applyBorder="1" applyProtection="1"/>
    <xf numFmtId="0" fontId="2" fillId="3" borderId="41" xfId="3" applyFont="1" applyFill="1" applyBorder="1" applyAlignment="1" applyProtection="1">
      <alignment horizontal="left"/>
    </xf>
    <xf numFmtId="0" fontId="2" fillId="3" borderId="42" xfId="3" applyFont="1" applyFill="1" applyBorder="1" applyAlignment="1" applyProtection="1">
      <alignment horizontal="right"/>
    </xf>
    <xf numFmtId="0" fontId="2" fillId="3" borderId="42" xfId="3" applyFont="1" applyFill="1" applyBorder="1" applyAlignment="1" applyProtection="1">
      <alignment horizontal="center"/>
    </xf>
    <xf numFmtId="0" fontId="2" fillId="3" borderId="11" xfId="3" applyFont="1" applyFill="1" applyBorder="1" applyProtection="1"/>
    <xf numFmtId="0" fontId="2" fillId="3" borderId="10" xfId="3" applyFont="1" applyFill="1" applyBorder="1" applyProtection="1"/>
    <xf numFmtId="0" fontId="1" fillId="3" borderId="10" xfId="3" applyFill="1" applyBorder="1" applyProtection="1"/>
    <xf numFmtId="0" fontId="7" fillId="3" borderId="10" xfId="3" applyFont="1" applyFill="1" applyBorder="1" applyAlignment="1" applyProtection="1">
      <alignment horizontal="center"/>
    </xf>
    <xf numFmtId="0" fontId="12" fillId="3"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1" borderId="20" xfId="0" applyNumberFormat="1" applyFont="1" applyFill="1" applyBorder="1" applyAlignment="1" applyProtection="1">
      <alignment horizontal="left" vertical="top"/>
    </xf>
    <xf numFmtId="49" fontId="1" fillId="11" borderId="44" xfId="0" applyNumberFormat="1" applyFont="1" applyFill="1" applyBorder="1" applyAlignment="1" applyProtection="1">
      <alignment horizontal="left" vertical="top" shrinkToFit="1"/>
    </xf>
    <xf numFmtId="49" fontId="1" fillId="11" borderId="44"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5" borderId="23" xfId="2" applyNumberFormat="1" applyFont="1" applyFill="1" applyBorder="1" applyProtection="1"/>
    <xf numFmtId="49" fontId="1" fillId="11" borderId="20" xfId="3" applyNumberFormat="1" applyFill="1" applyBorder="1" applyAlignment="1" applyProtection="1">
      <alignment horizontal="left" vertical="top"/>
    </xf>
    <xf numFmtId="42" fontId="1" fillId="5" borderId="28" xfId="2" applyNumberFormat="1" applyFont="1" applyFill="1" applyBorder="1" applyProtection="1"/>
    <xf numFmtId="49" fontId="1" fillId="11" borderId="26" xfId="3" applyNumberFormat="1" applyFill="1" applyBorder="1" applyAlignment="1" applyProtection="1">
      <alignment horizontal="left" vertical="top" wrapText="1"/>
    </xf>
    <xf numFmtId="0" fontId="2" fillId="3" borderId="53" xfId="3" applyFont="1" applyFill="1" applyBorder="1" applyAlignment="1" applyProtection="1">
      <alignment horizontal="left"/>
    </xf>
    <xf numFmtId="0" fontId="2" fillId="3" borderId="17" xfId="3" applyFont="1" applyFill="1" applyBorder="1" applyAlignment="1" applyProtection="1">
      <alignment horizontal="right"/>
    </xf>
    <xf numFmtId="0" fontId="2" fillId="3" borderId="24" xfId="3" applyFont="1" applyFill="1" applyBorder="1" applyAlignment="1" applyProtection="1">
      <alignment horizontal="center"/>
    </xf>
    <xf numFmtId="49" fontId="1" fillId="11" borderId="50" xfId="0" applyNumberFormat="1" applyFont="1" applyFill="1" applyBorder="1" applyAlignment="1" applyProtection="1">
      <alignment horizontal="left" vertical="top"/>
    </xf>
    <xf numFmtId="49" fontId="1" fillId="11" borderId="51" xfId="0" applyNumberFormat="1" applyFont="1" applyFill="1" applyBorder="1" applyAlignment="1" applyProtection="1">
      <alignment horizontal="left" vertical="top" shrinkToFit="1"/>
    </xf>
    <xf numFmtId="49" fontId="1" fillId="11" borderId="51" xfId="3" applyNumberFormat="1" applyFill="1" applyBorder="1" applyAlignment="1" applyProtection="1">
      <alignment horizontal="left" vertical="top" wrapText="1"/>
    </xf>
    <xf numFmtId="49" fontId="1" fillId="11" borderId="52" xfId="3" applyNumberFormat="1" applyFill="1" applyBorder="1" applyAlignment="1" applyProtection="1">
      <alignment horizontal="left" vertical="top" wrapText="1"/>
    </xf>
    <xf numFmtId="49" fontId="1" fillId="11" borderId="50" xfId="3" applyNumberFormat="1" applyFill="1" applyBorder="1" applyAlignment="1" applyProtection="1">
      <alignment horizontal="left" vertical="top"/>
    </xf>
    <xf numFmtId="0" fontId="2" fillId="3" borderId="11" xfId="3" applyFont="1" applyFill="1" applyBorder="1" applyAlignment="1" applyProtection="1">
      <alignment wrapText="1"/>
    </xf>
    <xf numFmtId="49" fontId="1" fillId="11" borderId="50" xfId="3" applyNumberFormat="1" applyFill="1" applyBorder="1" applyAlignment="1" applyProtection="1">
      <alignment horizontal="left" vertical="top" wrapText="1"/>
    </xf>
    <xf numFmtId="49" fontId="1" fillId="11" borderId="54" xfId="3" applyNumberFormat="1" applyFill="1" applyBorder="1" applyAlignment="1" applyProtection="1">
      <alignment horizontal="left" vertical="top" wrapText="1"/>
    </xf>
    <xf numFmtId="49" fontId="1" fillId="11" borderId="55" xfId="3" applyNumberFormat="1" applyFill="1" applyBorder="1" applyAlignment="1" applyProtection="1">
      <alignment horizontal="left" vertical="top" wrapText="1"/>
    </xf>
    <xf numFmtId="0" fontId="12" fillId="3" borderId="0" xfId="3" applyFont="1" applyFill="1" applyAlignment="1" applyProtection="1">
      <alignment wrapText="1"/>
    </xf>
    <xf numFmtId="0" fontId="12" fillId="3" borderId="7" xfId="3" applyFont="1" applyFill="1" applyBorder="1" applyProtection="1"/>
    <xf numFmtId="0" fontId="7" fillId="3" borderId="8" xfId="3" applyFont="1" applyFill="1" applyBorder="1" applyAlignment="1" applyProtection="1">
      <alignment horizontal="left" indent="1"/>
    </xf>
    <xf numFmtId="49" fontId="1" fillId="11" borderId="56" xfId="0" applyNumberFormat="1" applyFont="1" applyFill="1" applyBorder="1" applyAlignment="1" applyProtection="1">
      <alignment horizontal="left" vertical="top" shrinkToFit="1"/>
    </xf>
    <xf numFmtId="49" fontId="1" fillId="11" borderId="57"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1" borderId="56" xfId="3" applyNumberFormat="1" applyFill="1" applyBorder="1" applyAlignment="1" applyProtection="1">
      <alignment horizontal="left" vertical="top" wrapText="1"/>
    </xf>
    <xf numFmtId="42" fontId="1" fillId="5" borderId="27" xfId="2" applyNumberFormat="1" applyFont="1" applyFill="1" applyBorder="1" applyProtection="1"/>
    <xf numFmtId="0" fontId="2" fillId="3" borderId="17" xfId="3" applyFont="1" applyFill="1" applyBorder="1" applyAlignment="1" applyProtection="1">
      <alignment horizontal="center"/>
    </xf>
    <xf numFmtId="0" fontId="3" fillId="3" borderId="3" xfId="3" applyFont="1" applyFill="1" applyBorder="1" applyAlignment="1" applyProtection="1">
      <alignment horizontal="right"/>
    </xf>
    <xf numFmtId="0" fontId="3" fillId="3" borderId="2" xfId="3" applyFont="1" applyFill="1" applyBorder="1" applyAlignment="1" applyProtection="1">
      <alignment horizontal="right"/>
    </xf>
    <xf numFmtId="0" fontId="3" fillId="3" borderId="2" xfId="3" applyFont="1" applyFill="1" applyBorder="1" applyAlignment="1" applyProtection="1">
      <alignment horizontal="left"/>
    </xf>
    <xf numFmtId="0" fontId="3" fillId="3" borderId="2" xfId="3" applyFont="1" applyFill="1" applyBorder="1" applyAlignment="1" applyProtection="1">
      <alignment horizontal="center"/>
    </xf>
    <xf numFmtId="0" fontId="3" fillId="3" borderId="11" xfId="3" applyFont="1" applyFill="1" applyBorder="1" applyProtection="1"/>
    <xf numFmtId="0" fontId="2" fillId="3" borderId="9" xfId="3" applyFont="1" applyFill="1" applyBorder="1" applyProtection="1"/>
    <xf numFmtId="0" fontId="4" fillId="3" borderId="8" xfId="3" applyFont="1" applyFill="1" applyBorder="1" applyProtection="1"/>
    <xf numFmtId="0" fontId="2" fillId="3" borderId="0" xfId="3" applyFont="1" applyFill="1" applyProtection="1"/>
    <xf numFmtId="0" fontId="2" fillId="3"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1" borderId="29" xfId="0" applyFont="1" applyFill="1" applyBorder="1" applyProtection="1"/>
    <xf numFmtId="0" fontId="1" fillId="6" borderId="29" xfId="0" applyFont="1" applyFill="1" applyBorder="1" applyProtection="1"/>
    <xf numFmtId="0" fontId="3" fillId="0" borderId="6" xfId="3" applyFont="1" applyBorder="1" applyProtection="1"/>
    <xf numFmtId="0" fontId="3" fillId="3" borderId="16" xfId="3" applyFont="1" applyFill="1" applyBorder="1" applyAlignment="1" applyProtection="1">
      <alignment horizontal="left"/>
    </xf>
    <xf numFmtId="0" fontId="3" fillId="3"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0" fontId="16" fillId="10" borderId="0" xfId="3" applyFont="1" applyFill="1" applyAlignment="1">
      <alignment horizontal="left" vertical="center" wrapText="1"/>
    </xf>
    <xf numFmtId="0" fontId="1" fillId="0" borderId="0" xfId="3" applyAlignment="1">
      <alignment horizontal="left" vertical="center" wrapText="1"/>
    </xf>
    <xf numFmtId="0" fontId="1" fillId="0" borderId="0" xfId="3" applyAlignment="1">
      <alignment horizontal="left" vertical="center" wrapText="1" indent="1"/>
    </xf>
    <xf numFmtId="0" fontId="2" fillId="5" borderId="0" xfId="3" applyFont="1" applyFill="1" applyAlignment="1">
      <alignment horizontal="left" vertical="center" wrapText="1" indent="2"/>
    </xf>
    <xf numFmtId="0" fontId="13" fillId="0" borderId="0" xfId="3" applyFont="1" applyAlignment="1">
      <alignment horizontal="center"/>
    </xf>
    <xf numFmtId="0" fontId="20" fillId="3" borderId="46" xfId="3" applyFont="1" applyFill="1" applyBorder="1" applyAlignment="1" applyProtection="1">
      <alignment horizontal="left" vertical="center" wrapText="1"/>
    </xf>
    <xf numFmtId="0" fontId="20" fillId="3" borderId="49" xfId="3" applyFont="1" applyFill="1" applyBorder="1" applyAlignment="1" applyProtection="1">
      <alignment horizontal="left" vertical="center" wrapText="1"/>
    </xf>
    <xf numFmtId="0" fontId="20" fillId="3" borderId="47"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0" fontId="20" fillId="3" borderId="45" xfId="3" applyFont="1" applyFill="1" applyBorder="1" applyAlignment="1" applyProtection="1">
      <alignment horizontal="center" vertical="center" wrapText="1"/>
    </xf>
    <xf numFmtId="41" fontId="19" fillId="4" borderId="0" xfId="3" applyNumberFormat="1" applyFont="1" applyFill="1" applyAlignment="1">
      <alignment horizontal="center" wrapText="1"/>
    </xf>
    <xf numFmtId="41" fontId="19" fillId="4" borderId="7" xfId="3" applyNumberFormat="1" applyFont="1" applyFill="1" applyBorder="1" applyAlignment="1">
      <alignment horizontal="center" wrapText="1"/>
    </xf>
    <xf numFmtId="0" fontId="13" fillId="0" borderId="0" xfId="3" applyFont="1" applyAlignment="1">
      <alignment vertical="top"/>
    </xf>
    <xf numFmtId="0" fontId="31" fillId="0" borderId="0" xfId="3" applyFont="1"/>
    <xf numFmtId="0" fontId="4" fillId="0" borderId="47" xfId="3" applyFont="1" applyBorder="1" applyAlignment="1">
      <alignment horizontal="justify" vertical="center" wrapText="1"/>
    </xf>
    <xf numFmtId="0" fontId="4" fillId="0" borderId="15" xfId="3" applyFont="1" applyBorder="1"/>
    <xf numFmtId="0" fontId="3" fillId="12" borderId="12" xfId="3" applyFont="1" applyFill="1" applyBorder="1" applyAlignment="1">
      <alignment horizontal="center" wrapText="1"/>
    </xf>
    <xf numFmtId="0" fontId="1" fillId="12" borderId="12" xfId="3" applyFill="1" applyBorder="1" applyAlignment="1">
      <alignment horizontal="center" wrapText="1"/>
    </xf>
    <xf numFmtId="0" fontId="3" fillId="0" borderId="0" xfId="3" applyFont="1"/>
    <xf numFmtId="0" fontId="1" fillId="0" borderId="0" xfId="3"/>
    <xf numFmtId="0" fontId="12" fillId="0" borderId="0" xfId="3" applyFont="1"/>
    <xf numFmtId="170" fontId="2" fillId="3"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53975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130175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C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15" customFormat="1" ht="18" x14ac:dyDescent="0.25">
      <c r="A1" s="317" t="s">
        <v>0</v>
      </c>
      <c r="B1" s="317"/>
      <c r="C1" s="317"/>
    </row>
    <row r="2" spans="1:3" s="116" customFormat="1" ht="18" x14ac:dyDescent="0.25">
      <c r="A2" s="317" t="s">
        <v>1</v>
      </c>
      <c r="B2" s="317"/>
      <c r="C2" s="317"/>
    </row>
    <row r="3" spans="1:3" s="117" customFormat="1" ht="13.5" thickBot="1" x14ac:dyDescent="0.25">
      <c r="A3" s="116"/>
      <c r="B3" s="116"/>
      <c r="C3" s="116"/>
    </row>
    <row r="4" spans="1:3" s="116" customFormat="1" ht="15.75" thickBot="1" x14ac:dyDescent="0.25">
      <c r="A4" s="118" t="s">
        <v>2</v>
      </c>
      <c r="B4" s="119" t="s">
        <v>3</v>
      </c>
      <c r="C4" s="119" t="s">
        <v>4</v>
      </c>
    </row>
    <row r="5" spans="1:3" s="116" customFormat="1" ht="29.25" thickBot="1" x14ac:dyDescent="0.25">
      <c r="A5" s="34" t="s">
        <v>5</v>
      </c>
      <c r="B5" s="33" t="s">
        <v>6</v>
      </c>
      <c r="C5" s="32">
        <v>44963</v>
      </c>
    </row>
    <row r="6" spans="1:3" s="116" customFormat="1" ht="29.25" thickBot="1" x14ac:dyDescent="0.25">
      <c r="A6" s="34" t="s">
        <v>7</v>
      </c>
      <c r="B6" s="33" t="s">
        <v>8</v>
      </c>
      <c r="C6" s="32">
        <v>45145</v>
      </c>
    </row>
    <row r="8" spans="1:3" ht="17.25" customHeight="1" x14ac:dyDescent="0.2">
      <c r="A8" s="313" t="s">
        <v>9</v>
      </c>
      <c r="B8" s="313"/>
      <c r="C8" s="313"/>
    </row>
    <row r="9" spans="1:3" ht="74.25" customHeight="1" x14ac:dyDescent="0.2">
      <c r="A9" s="314" t="s">
        <v>10</v>
      </c>
      <c r="B9" s="314"/>
      <c r="C9" s="314"/>
    </row>
    <row r="10" spans="1:3" ht="45.75" customHeight="1" x14ac:dyDescent="0.2">
      <c r="A10" s="314" t="s">
        <v>11</v>
      </c>
      <c r="B10" s="314"/>
      <c r="C10" s="314"/>
    </row>
    <row r="11" spans="1:3" ht="90" customHeight="1" x14ac:dyDescent="0.2">
      <c r="A11" s="314" t="s">
        <v>12</v>
      </c>
      <c r="B11" s="314"/>
      <c r="C11" s="314"/>
    </row>
    <row r="12" spans="1:3" ht="11.25" customHeight="1" x14ac:dyDescent="0.2">
      <c r="A12" s="314"/>
      <c r="B12" s="314"/>
      <c r="C12" s="314"/>
    </row>
    <row r="13" spans="1:3" ht="15" customHeight="1" x14ac:dyDescent="0.2">
      <c r="A13" s="313" t="s">
        <v>13</v>
      </c>
      <c r="B13" s="313"/>
      <c r="C13" s="313"/>
    </row>
    <row r="14" spans="1:3" ht="65.25" customHeight="1" x14ac:dyDescent="0.2">
      <c r="A14" s="314" t="s">
        <v>14</v>
      </c>
      <c r="B14" s="314"/>
      <c r="C14" s="314"/>
    </row>
    <row r="15" spans="1:3" s="12" customFormat="1" ht="50.25" customHeight="1" x14ac:dyDescent="0.2">
      <c r="A15" s="314" t="s">
        <v>15</v>
      </c>
      <c r="B15" s="314"/>
      <c r="C15" s="314"/>
    </row>
    <row r="16" spans="1:3" x14ac:dyDescent="0.2">
      <c r="A16" s="314"/>
      <c r="B16" s="314"/>
      <c r="C16" s="314"/>
    </row>
    <row r="17" spans="1:3" ht="16.5" customHeight="1" x14ac:dyDescent="0.2">
      <c r="A17" s="316" t="s">
        <v>16</v>
      </c>
      <c r="B17" s="316"/>
      <c r="C17" s="316"/>
    </row>
    <row r="18" spans="1:3" ht="30.75" customHeight="1" x14ac:dyDescent="0.2">
      <c r="A18" s="315" t="s">
        <v>17</v>
      </c>
      <c r="B18" s="315"/>
      <c r="C18" s="315"/>
    </row>
    <row r="19" spans="1:3" ht="30" customHeight="1" x14ac:dyDescent="0.2">
      <c r="A19" s="315" t="s">
        <v>18</v>
      </c>
      <c r="B19" s="315"/>
      <c r="C19" s="315"/>
    </row>
    <row r="20" spans="1:3" s="12" customFormat="1" ht="24.75" customHeight="1" x14ac:dyDescent="0.2">
      <c r="A20" s="315" t="s">
        <v>19</v>
      </c>
      <c r="B20" s="315"/>
      <c r="C20" s="315"/>
    </row>
    <row r="21" spans="1:3" ht="30" customHeight="1" x14ac:dyDescent="0.2">
      <c r="A21" s="315" t="s">
        <v>20</v>
      </c>
      <c r="B21" s="315"/>
      <c r="C21" s="315"/>
    </row>
    <row r="22" spans="1:3" x14ac:dyDescent="0.2">
      <c r="A22" s="314"/>
      <c r="B22" s="314"/>
      <c r="C22" s="314"/>
    </row>
    <row r="23" spans="1:3" ht="12.75" customHeight="1" x14ac:dyDescent="0.2">
      <c r="A23" s="316" t="s">
        <v>21</v>
      </c>
      <c r="B23" s="316"/>
      <c r="C23" s="316"/>
    </row>
    <row r="24" spans="1:3" s="12" customFormat="1" ht="172.5" customHeight="1" x14ac:dyDescent="0.2">
      <c r="A24" s="315" t="s">
        <v>22</v>
      </c>
      <c r="B24" s="315"/>
      <c r="C24" s="315"/>
    </row>
    <row r="25" spans="1:3" ht="174.75" customHeight="1" x14ac:dyDescent="0.2">
      <c r="A25" s="315" t="s">
        <v>23</v>
      </c>
      <c r="B25" s="315"/>
      <c r="C25" s="315"/>
    </row>
    <row r="26" spans="1:3" x14ac:dyDescent="0.2">
      <c r="A26" s="314"/>
      <c r="B26" s="314"/>
      <c r="C26" s="314"/>
    </row>
    <row r="27" spans="1:3" ht="13.5" customHeight="1" x14ac:dyDescent="0.2">
      <c r="A27" s="316" t="s">
        <v>24</v>
      </c>
      <c r="B27" s="316"/>
      <c r="C27" s="316"/>
    </row>
    <row r="28" spans="1:3" ht="54" customHeight="1" x14ac:dyDescent="0.2">
      <c r="A28" s="315" t="s">
        <v>25</v>
      </c>
      <c r="B28" s="315"/>
      <c r="C28" s="315"/>
    </row>
    <row r="29" spans="1:3" ht="31.5" customHeight="1" x14ac:dyDescent="0.2">
      <c r="A29" s="315" t="s">
        <v>26</v>
      </c>
      <c r="B29" s="315"/>
      <c r="C29" s="315"/>
    </row>
    <row r="30" spans="1:3" ht="55.5" customHeight="1" x14ac:dyDescent="0.2">
      <c r="A30" s="315" t="s">
        <v>27</v>
      </c>
      <c r="B30" s="315"/>
      <c r="C30" s="315"/>
    </row>
    <row r="31" spans="1:3" x14ac:dyDescent="0.2">
      <c r="A31" s="314"/>
      <c r="B31" s="314"/>
      <c r="C31" s="314"/>
    </row>
    <row r="32" spans="1:3" x14ac:dyDescent="0.2">
      <c r="A32" s="313" t="s">
        <v>28</v>
      </c>
      <c r="B32" s="313"/>
      <c r="C32" s="313"/>
    </row>
    <row r="33" spans="1:3" ht="43.5" customHeight="1" x14ac:dyDescent="0.2">
      <c r="A33" s="314" t="s">
        <v>29</v>
      </c>
      <c r="B33" s="314"/>
      <c r="C33" s="314"/>
    </row>
    <row r="35" spans="1:3" x14ac:dyDescent="0.2">
      <c r="A35" s="313" t="s">
        <v>30</v>
      </c>
      <c r="B35" s="313"/>
      <c r="C35" s="313"/>
    </row>
    <row r="36" spans="1:3" ht="54" customHeight="1" x14ac:dyDescent="0.2">
      <c r="A36" s="314" t="s">
        <v>31</v>
      </c>
      <c r="B36" s="314"/>
      <c r="C36" s="314"/>
    </row>
    <row r="37" spans="1:3" x14ac:dyDescent="0.2">
      <c r="A37" s="314"/>
      <c r="B37" s="314"/>
      <c r="C37" s="314"/>
    </row>
    <row r="38" spans="1:3" x14ac:dyDescent="0.2">
      <c r="A38" s="313" t="s">
        <v>32</v>
      </c>
      <c r="B38" s="313"/>
      <c r="C38" s="313"/>
    </row>
    <row r="39" spans="1:3" ht="86.25" customHeight="1" x14ac:dyDescent="0.2">
      <c r="A39" s="314" t="s">
        <v>33</v>
      </c>
      <c r="B39" s="314"/>
      <c r="C39" s="314"/>
    </row>
    <row r="41" spans="1:3" x14ac:dyDescent="0.2">
      <c r="A41" s="313" t="s">
        <v>34</v>
      </c>
      <c r="B41" s="313"/>
      <c r="C41" s="313"/>
    </row>
    <row r="42" spans="1:3" ht="77.25" customHeight="1" x14ac:dyDescent="0.2">
      <c r="A42" s="314" t="s">
        <v>35</v>
      </c>
      <c r="B42" s="314"/>
      <c r="C42" s="314"/>
    </row>
  </sheetData>
  <sheetProtection algorithmName="SHA-512" hashValue="rjfHXOaQ+Aq9a2q24saFttz+rWQL2MNkn/Yoda0Ocabpih1Tt1rzYzBGWlVAuYFk+VFmcqPsJp6g4XN+yOcBMw==" saltValue="0Kw63uwDVmDy/qwTt9W96A=="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3" orientation="portrait" horizontalDpi="4294967295" verticalDpi="4294967295"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40"/>
  <sheetViews>
    <sheetView showGridLines="0" zoomScale="80" zoomScaleNormal="80" workbookViewId="0">
      <selection activeCell="N1" sqref="N1"/>
    </sheetView>
  </sheetViews>
  <sheetFormatPr defaultColWidth="8.85546875" defaultRowHeight="12.75" outlineLevelRow="1" x14ac:dyDescent="0.2"/>
  <cols>
    <col min="1" max="1" width="33.140625" style="199" customWidth="1"/>
    <col min="2" max="2" width="32.5703125" style="199" customWidth="1"/>
    <col min="3" max="3" width="30.42578125" style="199" customWidth="1"/>
    <col min="4" max="4" width="11.140625" style="199" customWidth="1"/>
    <col min="5" max="5" width="10.85546875" style="199" customWidth="1"/>
    <col min="6" max="6" width="10" style="199" customWidth="1"/>
    <col min="7" max="9" width="14.85546875" style="199" customWidth="1"/>
    <col min="10" max="12" width="14.42578125" style="199" customWidth="1"/>
    <col min="13" max="13" width="13.85546875" style="8" bestFit="1" customWidth="1"/>
    <col min="14" max="14" width="16.7109375" style="7" customWidth="1"/>
    <col min="15" max="16384" width="8.85546875" style="199"/>
  </cols>
  <sheetData>
    <row r="1" spans="1:14" ht="18" x14ac:dyDescent="0.25">
      <c r="A1" s="196" t="s">
        <v>36</v>
      </c>
      <c r="B1" s="197"/>
      <c r="C1" s="198"/>
      <c r="D1" s="198"/>
      <c r="E1" s="198"/>
      <c r="F1" s="198"/>
      <c r="G1" s="198"/>
      <c r="H1" s="198"/>
      <c r="I1" s="198"/>
      <c r="J1" s="198"/>
      <c r="K1" s="198"/>
      <c r="L1" s="198"/>
      <c r="M1" s="19"/>
      <c r="N1" s="18"/>
    </row>
    <row r="2" spans="1:14" ht="18" x14ac:dyDescent="0.2">
      <c r="A2" s="200" t="s">
        <v>37</v>
      </c>
      <c r="B2" s="197"/>
      <c r="C2" s="198"/>
      <c r="D2" s="198"/>
      <c r="E2" s="198"/>
      <c r="F2" s="198"/>
      <c r="G2" s="198"/>
      <c r="H2" s="198"/>
      <c r="I2" s="198"/>
      <c r="J2" s="198"/>
      <c r="K2" s="198"/>
      <c r="L2" s="198"/>
      <c r="M2" s="19"/>
      <c r="N2" s="18"/>
    </row>
    <row r="3" spans="1:14" ht="13.5" thickBot="1" x14ac:dyDescent="0.25">
      <c r="A3" s="197"/>
      <c r="B3" s="197"/>
      <c r="C3" s="198"/>
      <c r="D3" s="198"/>
      <c r="E3" s="198"/>
      <c r="F3" s="198"/>
      <c r="G3" s="198"/>
      <c r="H3" s="198"/>
      <c r="I3" s="198"/>
      <c r="J3" s="198"/>
      <c r="K3" s="198"/>
      <c r="L3" s="198"/>
      <c r="M3" s="19"/>
      <c r="N3" s="18"/>
    </row>
    <row r="4" spans="1:14" ht="13.5" thickBot="1" x14ac:dyDescent="0.25">
      <c r="A4" s="201" t="s">
        <v>38</v>
      </c>
      <c r="B4" s="202"/>
      <c r="C4" s="202"/>
      <c r="D4" s="202"/>
      <c r="E4" s="202"/>
      <c r="F4" s="202"/>
      <c r="G4" s="202"/>
      <c r="H4" s="202"/>
      <c r="I4" s="202"/>
      <c r="J4" s="202"/>
      <c r="K4" s="202"/>
      <c r="L4" s="202"/>
      <c r="M4" s="66"/>
      <c r="N4" s="203"/>
    </row>
    <row r="5" spans="1:14" ht="33.75" x14ac:dyDescent="0.2">
      <c r="A5" s="204"/>
      <c r="B5" s="205"/>
      <c r="C5" s="205"/>
      <c r="D5" s="205"/>
      <c r="E5" s="205"/>
      <c r="F5" s="205"/>
      <c r="G5" s="206" t="s">
        <v>39</v>
      </c>
      <c r="H5" s="206" t="s">
        <v>40</v>
      </c>
      <c r="I5" s="206" t="s">
        <v>41</v>
      </c>
      <c r="J5" s="206" t="s">
        <v>42</v>
      </c>
      <c r="K5" s="206" t="s">
        <v>43</v>
      </c>
      <c r="L5" s="206" t="s">
        <v>44</v>
      </c>
      <c r="M5" s="72" t="s">
        <v>45</v>
      </c>
      <c r="N5" s="73" t="s">
        <v>46</v>
      </c>
    </row>
    <row r="6" spans="1:14" x14ac:dyDescent="0.2">
      <c r="A6" s="207" t="s">
        <v>47</v>
      </c>
      <c r="B6" s="208" t="s">
        <v>48</v>
      </c>
      <c r="C6" s="208"/>
      <c r="D6" s="209" t="str">
        <f>A24</f>
        <v>1A.  Staff Salaries</v>
      </c>
      <c r="G6" s="83">
        <f t="shared" ref="G6:I6" si="0">G41</f>
        <v>224337</v>
      </c>
      <c r="H6" s="83">
        <f t="shared" si="0"/>
        <v>138255</v>
      </c>
      <c r="I6" s="83">
        <f t="shared" si="0"/>
        <v>86082</v>
      </c>
      <c r="J6" s="83">
        <f t="shared" ref="J6:K6" si="1">J41</f>
        <v>76785</v>
      </c>
      <c r="K6" s="83">
        <f t="shared" si="1"/>
        <v>63188.12999999999</v>
      </c>
      <c r="L6" s="83">
        <f>L41</f>
        <v>139973.13</v>
      </c>
      <c r="M6" s="16">
        <f t="shared" ref="M6:M13" si="2">IFERROR(L6/H6,"N/A")</f>
        <v>1.0124272539871977</v>
      </c>
      <c r="N6" s="85">
        <f>N41</f>
        <v>158427.99</v>
      </c>
    </row>
    <row r="7" spans="1:14" x14ac:dyDescent="0.2">
      <c r="A7" s="207" t="s">
        <v>49</v>
      </c>
      <c r="B7" s="210" t="s">
        <v>50</v>
      </c>
      <c r="C7" s="210"/>
      <c r="D7" s="209" t="str">
        <f>A43</f>
        <v>1B.  Staff Fringe Benefits</v>
      </c>
      <c r="G7" s="83">
        <f t="shared" ref="G7:I7" si="3">G53</f>
        <v>33650.549999999996</v>
      </c>
      <c r="H7" s="83">
        <f t="shared" si="3"/>
        <v>19238.25</v>
      </c>
      <c r="I7" s="83">
        <f t="shared" si="3"/>
        <v>14412.300000000001</v>
      </c>
      <c r="J7" s="83">
        <f>J53</f>
        <v>9498</v>
      </c>
      <c r="K7" s="83">
        <f>K53</f>
        <v>7976</v>
      </c>
      <c r="L7" s="83">
        <f>L53</f>
        <v>17474</v>
      </c>
      <c r="M7" s="16">
        <f t="shared" si="2"/>
        <v>0.90829467337205827</v>
      </c>
      <c r="N7" s="163">
        <f>N53</f>
        <v>26868</v>
      </c>
    </row>
    <row r="8" spans="1:14" x14ac:dyDescent="0.2">
      <c r="A8" s="211"/>
      <c r="D8" s="209" t="str">
        <f>A55</f>
        <v>2.  Consultant Services</v>
      </c>
      <c r="G8" s="83">
        <f t="shared" ref="G8:I8" si="4">G63</f>
        <v>5246.0159999999996</v>
      </c>
      <c r="H8" s="83">
        <f t="shared" si="4"/>
        <v>6246.0159999999996</v>
      </c>
      <c r="I8" s="83">
        <f t="shared" si="4"/>
        <v>-1000</v>
      </c>
      <c r="J8" s="83">
        <f>J63</f>
        <v>2764</v>
      </c>
      <c r="K8" s="83">
        <f>K63</f>
        <v>3126</v>
      </c>
      <c r="L8" s="83">
        <f>L63</f>
        <v>5890</v>
      </c>
      <c r="M8" s="16">
        <f t="shared" si="2"/>
        <v>0.94300110662540737</v>
      </c>
      <c r="N8" s="163">
        <f>N63</f>
        <v>34122</v>
      </c>
    </row>
    <row r="9" spans="1:14" x14ac:dyDescent="0.2">
      <c r="A9" s="211"/>
      <c r="D9" s="209" t="str">
        <f>A65</f>
        <v>3.  Operating Expenses</v>
      </c>
      <c r="G9" s="83">
        <f t="shared" ref="G9:L9" si="5">G85</f>
        <v>39169.647333333334</v>
      </c>
      <c r="H9" s="83">
        <f t="shared" si="5"/>
        <v>38927.212</v>
      </c>
      <c r="I9" s="83">
        <f t="shared" si="5"/>
        <v>242.43533333333318</v>
      </c>
      <c r="J9" s="83">
        <f t="shared" si="5"/>
        <v>18196</v>
      </c>
      <c r="K9" s="83">
        <f t="shared" si="5"/>
        <v>21134.15</v>
      </c>
      <c r="L9" s="83">
        <f t="shared" si="5"/>
        <v>39330.150000000009</v>
      </c>
      <c r="M9" s="16">
        <f t="shared" si="2"/>
        <v>1.0103510623879257</v>
      </c>
      <c r="N9" s="85">
        <f>N85</f>
        <v>41222.150000000009</v>
      </c>
    </row>
    <row r="10" spans="1:14" x14ac:dyDescent="0.2">
      <c r="A10" s="212" t="s">
        <v>51</v>
      </c>
      <c r="B10" s="213" t="s">
        <v>52</v>
      </c>
      <c r="D10" s="209" t="str">
        <f>A87</f>
        <v>4.  Direct Client Support</v>
      </c>
      <c r="G10" s="83">
        <f>G93</f>
        <v>0</v>
      </c>
      <c r="H10" s="83">
        <f t="shared" ref="H10:N10" si="6">H93</f>
        <v>0</v>
      </c>
      <c r="I10" s="83">
        <f t="shared" si="6"/>
        <v>0</v>
      </c>
      <c r="J10" s="83">
        <f t="shared" si="6"/>
        <v>0</v>
      </c>
      <c r="K10" s="83">
        <f t="shared" si="6"/>
        <v>0</v>
      </c>
      <c r="L10" s="83">
        <f t="shared" si="6"/>
        <v>0</v>
      </c>
      <c r="M10" s="16" t="str">
        <f t="shared" si="2"/>
        <v>N/A</v>
      </c>
      <c r="N10" s="85">
        <f t="shared" si="6"/>
        <v>0</v>
      </c>
    </row>
    <row r="11" spans="1:14" x14ac:dyDescent="0.2">
      <c r="A11" s="211"/>
      <c r="D11" s="209" t="str">
        <f>A95</f>
        <v>5.  Other</v>
      </c>
      <c r="G11" s="83">
        <f>G101</f>
        <v>0</v>
      </c>
      <c r="H11" s="83">
        <f t="shared" ref="H11:N11" si="7">H101</f>
        <v>0</v>
      </c>
      <c r="I11" s="83">
        <f t="shared" si="7"/>
        <v>0</v>
      </c>
      <c r="J11" s="83">
        <f t="shared" si="7"/>
        <v>0</v>
      </c>
      <c r="K11" s="83">
        <f t="shared" si="7"/>
        <v>0</v>
      </c>
      <c r="L11" s="83">
        <f t="shared" si="7"/>
        <v>0</v>
      </c>
      <c r="M11" s="16" t="str">
        <f t="shared" si="2"/>
        <v>N/A</v>
      </c>
      <c r="N11" s="85">
        <f t="shared" si="7"/>
        <v>0</v>
      </c>
    </row>
    <row r="12" spans="1:14" x14ac:dyDescent="0.2">
      <c r="A12" s="211"/>
      <c r="D12" s="209" t="str">
        <f>A103</f>
        <v>6.  Indirect Administrative Costs</v>
      </c>
      <c r="G12" s="83">
        <f>G110</f>
        <v>33650.549999999996</v>
      </c>
      <c r="H12" s="83">
        <f t="shared" ref="H12:L12" si="8">H110</f>
        <v>20738.25</v>
      </c>
      <c r="I12" s="83">
        <f t="shared" si="8"/>
        <v>12912.299999999996</v>
      </c>
      <c r="J12" s="83">
        <f t="shared" si="8"/>
        <v>10368</v>
      </c>
      <c r="K12" s="83">
        <f t="shared" si="8"/>
        <v>10370</v>
      </c>
      <c r="L12" s="83">
        <f t="shared" si="8"/>
        <v>20738</v>
      </c>
      <c r="M12" s="16">
        <f t="shared" si="2"/>
        <v>0.99998794498089283</v>
      </c>
      <c r="N12" s="85">
        <f>N110</f>
        <v>69261</v>
      </c>
    </row>
    <row r="13" spans="1:14" x14ac:dyDescent="0.2">
      <c r="A13" s="211" t="s">
        <v>53</v>
      </c>
      <c r="B13" s="214">
        <v>223405</v>
      </c>
      <c r="D13" s="215" t="str">
        <f>C112</f>
        <v>7.   TOTAL BUDGET</v>
      </c>
      <c r="E13" s="197"/>
      <c r="F13" s="197"/>
      <c r="G13" s="84">
        <f>G112</f>
        <v>336053.76333333331</v>
      </c>
      <c r="H13" s="84">
        <f t="shared" ref="H13:L13" si="9">H112</f>
        <v>223404.728</v>
      </c>
      <c r="I13" s="84">
        <f t="shared" si="9"/>
        <v>112649.03533333333</v>
      </c>
      <c r="J13" s="84">
        <f t="shared" si="9"/>
        <v>117611</v>
      </c>
      <c r="K13" s="84">
        <f t="shared" si="9"/>
        <v>105794.28</v>
      </c>
      <c r="L13" s="84">
        <f t="shared" si="9"/>
        <v>223405.28000000003</v>
      </c>
      <c r="M13" s="17">
        <f t="shared" si="2"/>
        <v>1.0000024708519151</v>
      </c>
      <c r="N13" s="86">
        <f>N112</f>
        <v>329901.14</v>
      </c>
    </row>
    <row r="14" spans="1:14" x14ac:dyDescent="0.2">
      <c r="A14" s="211" t="s">
        <v>54</v>
      </c>
      <c r="B14" s="99">
        <f>L13</f>
        <v>223405.28000000003</v>
      </c>
      <c r="M14" s="199"/>
      <c r="N14" s="216"/>
    </row>
    <row r="15" spans="1:14" x14ac:dyDescent="0.2">
      <c r="A15" s="211" t="s">
        <v>55</v>
      </c>
      <c r="B15" s="99">
        <f>B13-B14</f>
        <v>-0.28000000002793968</v>
      </c>
      <c r="M15" s="199"/>
      <c r="N15" s="216"/>
    </row>
    <row r="16" spans="1:14" x14ac:dyDescent="0.2">
      <c r="A16" s="211"/>
      <c r="M16" s="199"/>
      <c r="N16" s="216"/>
    </row>
    <row r="17" spans="1:14" ht="13.5" thickBot="1" x14ac:dyDescent="0.25">
      <c r="A17" s="217"/>
      <c r="B17" s="218"/>
      <c r="C17" s="219"/>
      <c r="D17" s="218"/>
      <c r="E17" s="218"/>
      <c r="F17" s="218"/>
      <c r="G17" s="219"/>
      <c r="H17" s="219"/>
      <c r="I17" s="219"/>
      <c r="J17" s="219"/>
      <c r="K17" s="219"/>
      <c r="L17" s="219"/>
      <c r="M17" s="219"/>
      <c r="N17" s="220"/>
    </row>
    <row r="18" spans="1:14" ht="13.5" thickBot="1" x14ac:dyDescent="0.25">
      <c r="A18" s="197"/>
      <c r="D18" s="197"/>
      <c r="E18" s="197"/>
      <c r="F18" s="197"/>
      <c r="G18" s="35"/>
      <c r="H18" s="35"/>
      <c r="I18" s="35"/>
      <c r="J18" s="35"/>
      <c r="K18" s="35"/>
      <c r="L18" s="35"/>
      <c r="M18" s="31"/>
      <c r="N18" s="35"/>
    </row>
    <row r="19" spans="1:14" ht="13.5" hidden="1" thickBot="1" x14ac:dyDescent="0.25">
      <c r="A19" s="204" t="s">
        <v>56</v>
      </c>
      <c r="B19" s="205"/>
      <c r="C19" s="205" t="s">
        <v>57</v>
      </c>
      <c r="D19" s="221"/>
      <c r="E19" s="221"/>
      <c r="F19" s="205" t="s">
        <v>58</v>
      </c>
      <c r="G19" s="75"/>
      <c r="H19" s="75"/>
      <c r="I19" s="75"/>
      <c r="J19" s="75"/>
      <c r="K19" s="75"/>
      <c r="L19" s="75"/>
      <c r="M19" s="76"/>
      <c r="N19" s="77"/>
    </row>
    <row r="20" spans="1:14" ht="13.5" hidden="1" thickBot="1" x14ac:dyDescent="0.25">
      <c r="A20" s="211" t="s">
        <v>59</v>
      </c>
      <c r="C20" s="199" t="s">
        <v>60</v>
      </c>
      <c r="D20" s="197"/>
      <c r="E20" s="197"/>
      <c r="F20" s="199" t="s">
        <v>61</v>
      </c>
      <c r="G20" s="35"/>
      <c r="H20" s="35"/>
      <c r="I20" s="35"/>
      <c r="J20" s="35"/>
      <c r="K20" s="35"/>
      <c r="L20" s="35"/>
      <c r="M20" s="31"/>
      <c r="N20" s="78"/>
    </row>
    <row r="21" spans="1:14" ht="13.5" hidden="1" thickBot="1" x14ac:dyDescent="0.25">
      <c r="A21" s="222" t="s">
        <v>52</v>
      </c>
      <c r="B21" s="219"/>
      <c r="C21" s="199" t="s">
        <v>62</v>
      </c>
      <c r="D21" s="219"/>
      <c r="E21" s="219"/>
      <c r="F21" s="219" t="s">
        <v>63</v>
      </c>
      <c r="G21" s="219"/>
      <c r="H21" s="219"/>
      <c r="I21" s="219"/>
      <c r="J21" s="219"/>
      <c r="K21" s="219"/>
      <c r="L21" s="219"/>
      <c r="M21" s="10"/>
      <c r="N21" s="79"/>
    </row>
    <row r="22" spans="1:14" ht="13.5" thickBot="1" x14ac:dyDescent="0.25">
      <c r="A22" s="201" t="s">
        <v>64</v>
      </c>
      <c r="B22" s="202"/>
      <c r="C22" s="202"/>
      <c r="D22" s="202"/>
      <c r="E22" s="202"/>
      <c r="F22" s="202"/>
      <c r="G22" s="202"/>
      <c r="H22" s="202"/>
      <c r="I22" s="202"/>
      <c r="J22" s="202"/>
      <c r="K22" s="202"/>
      <c r="L22" s="202"/>
      <c r="M22" s="66"/>
      <c r="N22" s="203"/>
    </row>
    <row r="23" spans="1:14" ht="13.5" thickBot="1" x14ac:dyDescent="0.25"/>
    <row r="24" spans="1:14" x14ac:dyDescent="0.2">
      <c r="A24" s="223" t="s">
        <v>65</v>
      </c>
      <c r="B24" s="224"/>
      <c r="C24" s="224"/>
      <c r="D24" s="224"/>
      <c r="E24" s="224"/>
      <c r="F24" s="225"/>
      <c r="G24" s="226"/>
      <c r="H24" s="226"/>
      <c r="I24" s="226"/>
      <c r="J24" s="226"/>
      <c r="K24" s="226"/>
      <c r="L24" s="226"/>
      <c r="M24" s="62"/>
      <c r="N24" s="63"/>
    </row>
    <row r="25" spans="1:14" s="231" customFormat="1" ht="11.25" x14ac:dyDescent="0.2">
      <c r="A25" s="227" t="s">
        <v>66</v>
      </c>
      <c r="B25" s="228"/>
      <c r="C25" s="228"/>
      <c r="D25" s="228"/>
      <c r="E25" s="228"/>
      <c r="F25" s="229"/>
      <c r="G25" s="230"/>
      <c r="H25" s="230"/>
      <c r="I25" s="230"/>
      <c r="J25" s="230"/>
      <c r="K25" s="230"/>
      <c r="L25" s="230"/>
      <c r="M25" s="6"/>
      <c r="N25" s="64"/>
    </row>
    <row r="26" spans="1:14" s="231" customFormat="1" ht="33.75" x14ac:dyDescent="0.2">
      <c r="A26" s="232" t="s">
        <v>67</v>
      </c>
      <c r="B26" s="233" t="s">
        <v>68</v>
      </c>
      <c r="C26" s="234" t="s">
        <v>69</v>
      </c>
      <c r="D26" s="234" t="s">
        <v>70</v>
      </c>
      <c r="E26" s="234"/>
      <c r="F26" s="234"/>
      <c r="G26" s="234" t="s">
        <v>39</v>
      </c>
      <c r="H26" s="234" t="s">
        <v>40</v>
      </c>
      <c r="I26" s="234" t="s">
        <v>41</v>
      </c>
      <c r="J26" s="234" t="s">
        <v>42</v>
      </c>
      <c r="K26" s="234" t="s">
        <v>43</v>
      </c>
      <c r="L26" s="234" t="s">
        <v>44</v>
      </c>
      <c r="M26" s="23" t="s">
        <v>45</v>
      </c>
      <c r="N26" s="162" t="s">
        <v>46</v>
      </c>
    </row>
    <row r="27" spans="1:14" hidden="1" outlineLevel="1" x14ac:dyDescent="0.2">
      <c r="A27" s="235" t="s">
        <v>71</v>
      </c>
      <c r="B27" s="236" t="s">
        <v>72</v>
      </c>
      <c r="C27" s="237" t="s">
        <v>57</v>
      </c>
      <c r="D27" s="238">
        <v>1</v>
      </c>
      <c r="E27" s="239">
        <v>0.5</v>
      </c>
      <c r="F27" s="240">
        <v>12</v>
      </c>
      <c r="G27" s="141">
        <f>135000*E27</f>
        <v>67500</v>
      </c>
      <c r="H27" s="141">
        <v>43000</v>
      </c>
      <c r="I27" s="83">
        <f>G27-H27</f>
        <v>24500</v>
      </c>
      <c r="J27" s="153">
        <f>27032-3500</f>
        <v>23532</v>
      </c>
      <c r="K27" s="153">
        <f>40104.34+2550+1437-J27</f>
        <v>20559.339999999997</v>
      </c>
      <c r="L27" s="241">
        <f>SUM(J27:K27)</f>
        <v>44091.34</v>
      </c>
      <c r="M27" s="16">
        <f>IFERROR(L27/H27,"N/A")</f>
        <v>1.02538</v>
      </c>
      <c r="N27" s="242">
        <v>44091.34</v>
      </c>
    </row>
    <row r="28" spans="1:14" hidden="1" outlineLevel="1" x14ac:dyDescent="0.2">
      <c r="A28" s="235" t="s">
        <v>73</v>
      </c>
      <c r="B28" s="236" t="s">
        <v>74</v>
      </c>
      <c r="C28" s="237" t="s">
        <v>57</v>
      </c>
      <c r="D28" s="238">
        <v>1</v>
      </c>
      <c r="E28" s="239">
        <v>0.45</v>
      </c>
      <c r="F28" s="240">
        <v>12</v>
      </c>
      <c r="G28" s="141">
        <f>(71500)*E28</f>
        <v>32175</v>
      </c>
      <c r="H28" s="141">
        <v>21780</v>
      </c>
      <c r="I28" s="87">
        <f>G28-H28</f>
        <v>10395</v>
      </c>
      <c r="J28" s="153">
        <f>17000-5500</f>
        <v>11500</v>
      </c>
      <c r="K28" s="153">
        <f>24837.94-3550-J28</f>
        <v>9787.9399999999987</v>
      </c>
      <c r="L28" s="241">
        <f>SUM(J28:K28)</f>
        <v>21287.94</v>
      </c>
      <c r="M28" s="156">
        <f>IFERROR(L28/H28,"N/A")</f>
        <v>0.97740771349862254</v>
      </c>
      <c r="N28" s="242">
        <f>24288+2500</f>
        <v>26788</v>
      </c>
    </row>
    <row r="29" spans="1:14" collapsed="1" x14ac:dyDescent="0.2">
      <c r="A29" s="235"/>
      <c r="B29" s="236"/>
      <c r="C29" s="237" t="s">
        <v>57</v>
      </c>
      <c r="D29" s="244">
        <f>SUM(D27:D28)</f>
        <v>2</v>
      </c>
      <c r="E29" s="245"/>
      <c r="F29" s="246"/>
      <c r="G29" s="141">
        <f t="shared" ref="G29:L29" si="10">SUM(G27:G28)</f>
        <v>99675</v>
      </c>
      <c r="H29" s="141">
        <f t="shared" si="10"/>
        <v>64780</v>
      </c>
      <c r="I29" s="87">
        <f t="shared" si="10"/>
        <v>34895</v>
      </c>
      <c r="J29" s="153">
        <f t="shared" si="10"/>
        <v>35032</v>
      </c>
      <c r="K29" s="153">
        <f t="shared" si="10"/>
        <v>30347.279999999995</v>
      </c>
      <c r="L29" s="241">
        <f t="shared" si="10"/>
        <v>65379.28</v>
      </c>
      <c r="M29" s="16">
        <f t="shared" ref="M29" si="11">IFERROR(L29/H29,"N/A")</f>
        <v>1.00925100339611</v>
      </c>
      <c r="N29" s="242">
        <f>SUM(N27:N28)</f>
        <v>70879.34</v>
      </c>
    </row>
    <row r="30" spans="1:14" hidden="1" outlineLevel="1" x14ac:dyDescent="0.2">
      <c r="A30" s="235" t="s">
        <v>75</v>
      </c>
      <c r="B30" s="236" t="s">
        <v>76</v>
      </c>
      <c r="C30" s="237" t="s">
        <v>62</v>
      </c>
      <c r="D30" s="238">
        <v>1</v>
      </c>
      <c r="E30" s="239">
        <v>0.5</v>
      </c>
      <c r="F30" s="240">
        <v>12</v>
      </c>
      <c r="G30" s="141">
        <v>34000</v>
      </c>
      <c r="H30" s="141">
        <v>20275</v>
      </c>
      <c r="I30" s="87">
        <f>G30-H30</f>
        <v>13725</v>
      </c>
      <c r="J30" s="153">
        <v>10292</v>
      </c>
      <c r="K30" s="153">
        <f>22191.68-J30</f>
        <v>11899.68</v>
      </c>
      <c r="L30" s="241">
        <f>SUM(J30:K30)</f>
        <v>22191.68</v>
      </c>
      <c r="M30" s="16">
        <f>IFERROR(L30/H30,"N/A")</f>
        <v>1.0945341553637484</v>
      </c>
      <c r="N30" s="242">
        <v>22191.68</v>
      </c>
    </row>
    <row r="31" spans="1:14" hidden="1" outlineLevel="1" x14ac:dyDescent="0.2">
      <c r="A31" s="235" t="s">
        <v>77</v>
      </c>
      <c r="B31" s="236" t="s">
        <v>76</v>
      </c>
      <c r="C31" s="237" t="s">
        <v>62</v>
      </c>
      <c r="D31" s="238">
        <v>1</v>
      </c>
      <c r="E31" s="239">
        <v>0.25</v>
      </c>
      <c r="F31" s="240">
        <v>12</v>
      </c>
      <c r="G31" s="141">
        <f>(25*2080)*E31</f>
        <v>13000</v>
      </c>
      <c r="H31" s="141">
        <v>7500</v>
      </c>
      <c r="I31" s="87">
        <f>G31-H31</f>
        <v>5500</v>
      </c>
      <c r="J31" s="153">
        <f>5605</f>
        <v>5605</v>
      </c>
      <c r="K31" s="153">
        <f>7605.8-J31</f>
        <v>2000.8000000000002</v>
      </c>
      <c r="L31" s="241">
        <f>SUM(J31:K31)</f>
        <v>7605.8</v>
      </c>
      <c r="M31" s="16">
        <f>IFERROR(L31/H31,"N/A")</f>
        <v>1.0141066666666667</v>
      </c>
      <c r="N31" s="242">
        <f>7605.8+10455-5500</f>
        <v>12560.8</v>
      </c>
    </row>
    <row r="32" spans="1:14" hidden="1" outlineLevel="1" x14ac:dyDescent="0.2">
      <c r="A32" s="235" t="s">
        <v>78</v>
      </c>
      <c r="B32" s="236" t="s">
        <v>76</v>
      </c>
      <c r="C32" s="237" t="s">
        <v>62</v>
      </c>
      <c r="D32" s="238">
        <v>1</v>
      </c>
      <c r="E32" s="239">
        <v>0.5</v>
      </c>
      <c r="F32" s="240">
        <v>12</v>
      </c>
      <c r="G32" s="141">
        <f>(23*2080)*E32</f>
        <v>23920</v>
      </c>
      <c r="H32" s="141">
        <v>10000</v>
      </c>
      <c r="I32" s="87">
        <f>G32-H32</f>
        <v>13920</v>
      </c>
      <c r="J32" s="153">
        <f>5565</f>
        <v>5565</v>
      </c>
      <c r="K32" s="153">
        <f>15457.69-5457.69-J32</f>
        <v>4435</v>
      </c>
      <c r="L32" s="241">
        <f>SUM(J32:K32)</f>
        <v>10000</v>
      </c>
      <c r="M32" s="156">
        <f>IFERROR(L32/H32,"N/A")</f>
        <v>1</v>
      </c>
      <c r="N32" s="242">
        <v>15000</v>
      </c>
    </row>
    <row r="33" spans="1:14" hidden="1" outlineLevel="1" x14ac:dyDescent="0.2">
      <c r="A33" s="235" t="s">
        <v>79</v>
      </c>
      <c r="B33" s="236" t="s">
        <v>80</v>
      </c>
      <c r="C33" s="243" t="s">
        <v>62</v>
      </c>
      <c r="D33" s="238">
        <v>1</v>
      </c>
      <c r="E33" s="239">
        <v>0.5</v>
      </c>
      <c r="F33" s="240">
        <v>9</v>
      </c>
      <c r="G33" s="141">
        <f>((21*2080)*(0.75))*E33</f>
        <v>16380</v>
      </c>
      <c r="H33" s="141">
        <v>7000</v>
      </c>
      <c r="I33" s="87">
        <f>G33-H33</f>
        <v>9380</v>
      </c>
      <c r="J33" s="153">
        <f>6682-1500</f>
        <v>5182</v>
      </c>
      <c r="K33" s="153">
        <f>6803.09-J33</f>
        <v>1621.0900000000001</v>
      </c>
      <c r="L33" s="241">
        <f>SUM(J33:K33)</f>
        <v>6803.09</v>
      </c>
      <c r="M33" s="16">
        <f>IFERROR(L33/H33,"N/A")</f>
        <v>0.97187000000000001</v>
      </c>
      <c r="N33" s="242">
        <v>6803.09</v>
      </c>
    </row>
    <row r="34" spans="1:14" hidden="1" outlineLevel="1" x14ac:dyDescent="0.2">
      <c r="A34" s="235" t="s">
        <v>81</v>
      </c>
      <c r="B34" s="236" t="s">
        <v>80</v>
      </c>
      <c r="C34" s="243" t="s">
        <v>62</v>
      </c>
      <c r="D34" s="244">
        <v>1</v>
      </c>
      <c r="E34" s="245">
        <v>0.3</v>
      </c>
      <c r="F34" s="246">
        <v>12</v>
      </c>
      <c r="G34" s="141">
        <f>(22*2080)*E34</f>
        <v>13728</v>
      </c>
      <c r="H34" s="141">
        <v>10000</v>
      </c>
      <c r="I34" s="87">
        <f>G34-H34</f>
        <v>3728</v>
      </c>
      <c r="J34" s="153">
        <f>5555</f>
        <v>5555</v>
      </c>
      <c r="K34" s="153">
        <f>12668.2-3000-J34</f>
        <v>4113.2000000000007</v>
      </c>
      <c r="L34" s="241">
        <f>SUM(J34:K34)</f>
        <v>9668.2000000000007</v>
      </c>
      <c r="M34" s="156">
        <f>IFERROR(L34/H34,"N/A")</f>
        <v>0.96682000000000012</v>
      </c>
      <c r="N34" s="242">
        <f>12668</f>
        <v>12668</v>
      </c>
    </row>
    <row r="35" spans="1:14" hidden="1" outlineLevel="1" x14ac:dyDescent="0.2">
      <c r="A35" s="235" t="s">
        <v>84</v>
      </c>
      <c r="B35" s="236" t="s">
        <v>80</v>
      </c>
      <c r="C35" s="243" t="s">
        <v>62</v>
      </c>
      <c r="D35" s="244">
        <v>1</v>
      </c>
      <c r="E35" s="245">
        <v>0.25</v>
      </c>
      <c r="F35" s="246">
        <v>9</v>
      </c>
      <c r="G35" s="141">
        <f>((21*2080)*(0.75))*E35</f>
        <v>8190</v>
      </c>
      <c r="H35" s="141">
        <v>6700</v>
      </c>
      <c r="I35" s="87">
        <f>G35-H35</f>
        <v>1490</v>
      </c>
      <c r="J35" s="153">
        <f>5111-1000</f>
        <v>4111</v>
      </c>
      <c r="K35" s="153">
        <f>5692.5+1000-J35</f>
        <v>2581.5</v>
      </c>
      <c r="L35" s="241">
        <f>SUM(J35:K35)</f>
        <v>6692.5</v>
      </c>
      <c r="M35" s="16">
        <f>IFERROR(L35/H35,"N/A")</f>
        <v>0.99888059701492538</v>
      </c>
      <c r="N35" s="242">
        <v>6692.5</v>
      </c>
    </row>
    <row r="36" spans="1:14" collapsed="1" x14ac:dyDescent="0.2">
      <c r="A36" s="235"/>
      <c r="B36" s="236"/>
      <c r="C36" s="243" t="s">
        <v>62</v>
      </c>
      <c r="D36" s="244">
        <f>SUM(D30:D35)</f>
        <v>6</v>
      </c>
      <c r="E36" s="245"/>
      <c r="F36" s="246"/>
      <c r="G36" s="141">
        <f t="shared" ref="G36:L36" si="12">SUM(G30:G35)</f>
        <v>109218</v>
      </c>
      <c r="H36" s="141">
        <f t="shared" si="12"/>
        <v>61475</v>
      </c>
      <c r="I36" s="87">
        <f t="shared" si="12"/>
        <v>47743</v>
      </c>
      <c r="J36" s="153">
        <f t="shared" si="12"/>
        <v>36310</v>
      </c>
      <c r="K36" s="153">
        <f t="shared" si="12"/>
        <v>26651.27</v>
      </c>
      <c r="L36" s="241">
        <f t="shared" si="12"/>
        <v>62961.26999999999</v>
      </c>
      <c r="M36" s="16">
        <f t="shared" ref="M36" si="13">IFERROR(L36/H36,"N/A")</f>
        <v>1.0241768198454655</v>
      </c>
      <c r="N36" s="242">
        <f>SUM(N30:N35)</f>
        <v>75916.069999999992</v>
      </c>
    </row>
    <row r="37" spans="1:14" hidden="1" outlineLevel="1" x14ac:dyDescent="0.2">
      <c r="A37" s="235" t="s">
        <v>82</v>
      </c>
      <c r="B37" s="236" t="s">
        <v>83</v>
      </c>
      <c r="C37" s="243" t="s">
        <v>60</v>
      </c>
      <c r="D37" s="238">
        <v>1</v>
      </c>
      <c r="E37" s="239">
        <v>0.3</v>
      </c>
      <c r="F37" s="240">
        <v>12</v>
      </c>
      <c r="G37" s="141">
        <f>(24.75*2080)*E37</f>
        <v>15444</v>
      </c>
      <c r="H37" s="141">
        <v>12000</v>
      </c>
      <c r="I37" s="87">
        <f>G37-H37</f>
        <v>3444</v>
      </c>
      <c r="J37" s="153">
        <v>5443</v>
      </c>
      <c r="K37" s="153">
        <f>10827.58-1000+2805-1000-J37</f>
        <v>6189.58</v>
      </c>
      <c r="L37" s="241">
        <f>SUM(J37:K37)</f>
        <v>11632.58</v>
      </c>
      <c r="M37" s="16">
        <f>IFERROR(L37/H37,"N/A")</f>
        <v>0.9693816666666667</v>
      </c>
      <c r="N37" s="242">
        <v>11632.58</v>
      </c>
    </row>
    <row r="38" spans="1:14" collapsed="1" x14ac:dyDescent="0.2">
      <c r="A38" s="235"/>
      <c r="B38" s="236"/>
      <c r="C38" s="243" t="s">
        <v>60</v>
      </c>
      <c r="D38" s="244">
        <f>SUM(D37)</f>
        <v>1</v>
      </c>
      <c r="E38" s="245"/>
      <c r="F38" s="246"/>
      <c r="G38" s="141">
        <f t="shared" ref="G38:L38" si="14">SUM(G37)</f>
        <v>15444</v>
      </c>
      <c r="H38" s="141">
        <f t="shared" si="14"/>
        <v>12000</v>
      </c>
      <c r="I38" s="87">
        <f t="shared" si="14"/>
        <v>3444</v>
      </c>
      <c r="J38" s="153">
        <f t="shared" si="14"/>
        <v>5443</v>
      </c>
      <c r="K38" s="153">
        <f t="shared" si="14"/>
        <v>6189.58</v>
      </c>
      <c r="L38" s="241">
        <f t="shared" si="14"/>
        <v>11632.58</v>
      </c>
      <c r="M38" s="16">
        <f t="shared" ref="M38" si="15">IFERROR(L38/H38,"N/A")</f>
        <v>0.9693816666666667</v>
      </c>
      <c r="N38" s="242">
        <f>SUM(N37)</f>
        <v>11632.58</v>
      </c>
    </row>
    <row r="39" spans="1:14" x14ac:dyDescent="0.2">
      <c r="A39" s="235"/>
      <c r="B39" s="236"/>
      <c r="C39" s="243"/>
      <c r="D39" s="244"/>
      <c r="E39" s="245"/>
      <c r="F39" s="246"/>
      <c r="G39" s="141">
        <f>(24.75*2080)*E39</f>
        <v>0</v>
      </c>
      <c r="H39" s="141">
        <v>0</v>
      </c>
      <c r="I39" s="87">
        <f t="shared" ref="I39" si="16">G39-H39</f>
        <v>0</v>
      </c>
      <c r="J39" s="153">
        <v>0</v>
      </c>
      <c r="K39" s="153">
        <v>0</v>
      </c>
      <c r="L39" s="241">
        <f t="shared" ref="L39" si="17">SUM(J39:K39)</f>
        <v>0</v>
      </c>
      <c r="M39" s="16" t="str">
        <f t="shared" ref="M39" si="18">IFERROR(L39/H39,"N/A")</f>
        <v>N/A</v>
      </c>
      <c r="N39" s="242">
        <v>0</v>
      </c>
    </row>
    <row r="40" spans="1:14" x14ac:dyDescent="0.2">
      <c r="A40" s="235"/>
      <c r="B40" s="236"/>
      <c r="C40" s="243"/>
      <c r="D40" s="244"/>
      <c r="E40" s="245"/>
      <c r="F40" s="246"/>
      <c r="G40" s="141">
        <f>(24.75*2080)*E40</f>
        <v>0</v>
      </c>
      <c r="H40" s="141">
        <v>0</v>
      </c>
      <c r="I40" s="87">
        <f t="shared" ref="I40" si="19">G40-H40</f>
        <v>0</v>
      </c>
      <c r="J40" s="153">
        <v>0</v>
      </c>
      <c r="K40" s="153">
        <v>0</v>
      </c>
      <c r="L40" s="241">
        <f t="shared" ref="L40" si="20">SUM(J40:K40)</f>
        <v>0</v>
      </c>
      <c r="M40" s="16" t="str">
        <f t="shared" ref="M40" si="21">IFERROR(L40/H40,"N/A")</f>
        <v>N/A</v>
      </c>
      <c r="N40" s="242">
        <v>0</v>
      </c>
    </row>
    <row r="41" spans="1:14" ht="13.5" thickBot="1" x14ac:dyDescent="0.25">
      <c r="A41" s="247"/>
      <c r="B41" s="248"/>
      <c r="C41" s="249" t="s">
        <v>85</v>
      </c>
      <c r="D41" s="334">
        <f>SUM(D38,D36,D29)</f>
        <v>9</v>
      </c>
      <c r="E41" s="250"/>
      <c r="F41" s="251"/>
      <c r="G41" s="81">
        <f t="shared" ref="G41:L41" si="22">SUM(G38,G36,G29)</f>
        <v>224337</v>
      </c>
      <c r="H41" s="81">
        <f t="shared" si="22"/>
        <v>138255</v>
      </c>
      <c r="I41" s="81">
        <f t="shared" si="22"/>
        <v>86082</v>
      </c>
      <c r="J41" s="81">
        <f t="shared" si="22"/>
        <v>76785</v>
      </c>
      <c r="K41" s="81">
        <f t="shared" si="22"/>
        <v>63188.12999999999</v>
      </c>
      <c r="L41" s="81">
        <f t="shared" si="22"/>
        <v>139973.13</v>
      </c>
      <c r="M41" s="65">
        <f t="shared" ref="M41" si="23">IFERROR(L41/H41,"N/A")</f>
        <v>1.0124272539871977</v>
      </c>
      <c r="N41" s="82">
        <f>SUM(N38,N36,N29)</f>
        <v>158427.99</v>
      </c>
    </row>
    <row r="42" spans="1:14" ht="13.5" thickBot="1" x14ac:dyDescent="0.25"/>
    <row r="43" spans="1:14" x14ac:dyDescent="0.2">
      <c r="A43" s="252" t="s">
        <v>86</v>
      </c>
      <c r="B43" s="253"/>
      <c r="C43" s="253"/>
      <c r="D43" s="253"/>
      <c r="E43" s="253"/>
      <c r="F43" s="254"/>
      <c r="G43" s="255"/>
      <c r="H43" s="255"/>
      <c r="I43" s="255"/>
      <c r="J43" s="255"/>
      <c r="K43" s="255"/>
      <c r="L43" s="255"/>
      <c r="M43" s="4"/>
      <c r="N43" s="3"/>
    </row>
    <row r="44" spans="1:14" s="231" customFormat="1" ht="11.25" x14ac:dyDescent="0.2">
      <c r="A44" s="256" t="s">
        <v>87</v>
      </c>
      <c r="B44" s="228"/>
      <c r="C44" s="228"/>
      <c r="D44" s="228"/>
      <c r="E44" s="228"/>
      <c r="F44" s="229"/>
      <c r="G44" s="230"/>
      <c r="H44" s="230"/>
      <c r="I44" s="230"/>
      <c r="J44" s="230"/>
      <c r="K44" s="230"/>
      <c r="L44" s="230"/>
      <c r="M44" s="6"/>
      <c r="N44" s="5"/>
    </row>
    <row r="45" spans="1:14" ht="33.75" x14ac:dyDescent="0.2">
      <c r="A45" s="257" t="s">
        <v>88</v>
      </c>
      <c r="B45" s="258"/>
      <c r="C45" s="259"/>
      <c r="D45" s="259"/>
      <c r="E45" s="259"/>
      <c r="F45" s="259"/>
      <c r="G45" s="234" t="s">
        <v>39</v>
      </c>
      <c r="H45" s="234" t="s">
        <v>40</v>
      </c>
      <c r="I45" s="234" t="s">
        <v>41</v>
      </c>
      <c r="J45" s="234" t="s">
        <v>42</v>
      </c>
      <c r="K45" s="234" t="s">
        <v>43</v>
      </c>
      <c r="L45" s="234" t="s">
        <v>44</v>
      </c>
      <c r="M45" s="23" t="s">
        <v>45</v>
      </c>
      <c r="N45" s="24" t="s">
        <v>46</v>
      </c>
    </row>
    <row r="46" spans="1:14" x14ac:dyDescent="0.2">
      <c r="A46" s="260" t="s">
        <v>89</v>
      </c>
      <c r="B46" s="261"/>
      <c r="C46" s="261"/>
      <c r="D46" s="262"/>
      <c r="E46" s="142">
        <v>7.6499999999999999E-2</v>
      </c>
      <c r="F46" s="263"/>
      <c r="G46" s="143">
        <f>$G$41*E46</f>
        <v>17161.780500000001</v>
      </c>
      <c r="H46" s="143">
        <v>10576.5075</v>
      </c>
      <c r="I46" s="83">
        <f t="shared" ref="I46" si="24">G46-H46</f>
        <v>6585.273000000001</v>
      </c>
      <c r="J46" s="153">
        <f>5778</f>
        <v>5778</v>
      </c>
      <c r="K46" s="153">
        <f>10537-J46</f>
        <v>4759</v>
      </c>
      <c r="L46" s="83">
        <f>SUM(J46:K46)</f>
        <v>10537</v>
      </c>
      <c r="M46" s="16">
        <f>IFERROR(L46/H46,"N/A")</f>
        <v>0.99626459868723205</v>
      </c>
      <c r="N46" s="264">
        <f>15158-2951</f>
        <v>12207</v>
      </c>
    </row>
    <row r="47" spans="1:14" x14ac:dyDescent="0.2">
      <c r="A47" s="265" t="s">
        <v>90</v>
      </c>
      <c r="B47" s="261"/>
      <c r="C47" s="144"/>
      <c r="D47" s="262"/>
      <c r="E47" s="142">
        <v>0.01</v>
      </c>
      <c r="F47" s="263"/>
      <c r="G47" s="143">
        <f t="shared" ref="G47:G50" si="25">$G$41*E47</f>
        <v>2243.37</v>
      </c>
      <c r="H47" s="143">
        <v>1382.55</v>
      </c>
      <c r="I47" s="87">
        <f t="shared" ref="I47:I52" si="26">G47-H47</f>
        <v>860.81999999999994</v>
      </c>
      <c r="J47" s="153">
        <f>530</f>
        <v>530</v>
      </c>
      <c r="K47" s="155">
        <f>1093-J47</f>
        <v>563</v>
      </c>
      <c r="L47" s="87">
        <f t="shared" ref="L47:L52" si="27">SUM(J47:K47)</f>
        <v>1093</v>
      </c>
      <c r="M47" s="15">
        <f t="shared" ref="M47:M52" si="28">IFERROR(L47/H47,"N/A")</f>
        <v>0.79056815305052264</v>
      </c>
      <c r="N47" s="266">
        <v>1576</v>
      </c>
    </row>
    <row r="48" spans="1:14" x14ac:dyDescent="0.2">
      <c r="A48" s="265" t="s">
        <v>91</v>
      </c>
      <c r="B48" s="261"/>
      <c r="C48" s="144"/>
      <c r="D48" s="262"/>
      <c r="E48" s="142">
        <v>8.5000000000000006E-3</v>
      </c>
      <c r="F48" s="263"/>
      <c r="G48" s="143">
        <f t="shared" si="25"/>
        <v>1906.8645000000001</v>
      </c>
      <c r="H48" s="143">
        <v>1175.1675</v>
      </c>
      <c r="I48" s="87">
        <f t="shared" si="26"/>
        <v>731.69700000000012</v>
      </c>
      <c r="J48" s="153">
        <f>311</f>
        <v>311</v>
      </c>
      <c r="K48" s="155">
        <f>280-J48</f>
        <v>-31</v>
      </c>
      <c r="L48" s="87">
        <f t="shared" si="27"/>
        <v>280</v>
      </c>
      <c r="M48" s="15">
        <f t="shared" si="28"/>
        <v>0.2382639070600574</v>
      </c>
      <c r="N48" s="266">
        <v>525</v>
      </c>
    </row>
    <row r="49" spans="1:14" x14ac:dyDescent="0.2">
      <c r="A49" s="265" t="s">
        <v>92</v>
      </c>
      <c r="B49" s="261"/>
      <c r="C49" s="144"/>
      <c r="D49" s="262"/>
      <c r="E49" s="142">
        <v>0.05</v>
      </c>
      <c r="F49" s="263"/>
      <c r="G49" s="143">
        <f t="shared" si="25"/>
        <v>11216.85</v>
      </c>
      <c r="H49" s="143">
        <f>6912.75-1500</f>
        <v>5412.75</v>
      </c>
      <c r="I49" s="87">
        <f t="shared" si="26"/>
        <v>5804.1</v>
      </c>
      <c r="J49" s="153">
        <f>2450</f>
        <v>2450</v>
      </c>
      <c r="K49" s="155">
        <f>4796-J49</f>
        <v>2346</v>
      </c>
      <c r="L49" s="87">
        <f t="shared" si="27"/>
        <v>4796</v>
      </c>
      <c r="M49" s="15">
        <f t="shared" si="28"/>
        <v>0.88605607131310327</v>
      </c>
      <c r="N49" s="266">
        <v>11351</v>
      </c>
    </row>
    <row r="50" spans="1:14" x14ac:dyDescent="0.2">
      <c r="A50" s="265" t="s">
        <v>93</v>
      </c>
      <c r="B50" s="261"/>
      <c r="C50" s="144"/>
      <c r="D50" s="262"/>
      <c r="E50" s="142">
        <v>5.0000000000000001E-3</v>
      </c>
      <c r="F50" s="263"/>
      <c r="G50" s="143">
        <f t="shared" si="25"/>
        <v>1121.6849999999999</v>
      </c>
      <c r="H50" s="143">
        <v>691.27499999999998</v>
      </c>
      <c r="I50" s="87">
        <f t="shared" si="26"/>
        <v>430.40999999999997</v>
      </c>
      <c r="J50" s="153">
        <f>429</f>
        <v>429</v>
      </c>
      <c r="K50" s="155">
        <f>768-J50</f>
        <v>339</v>
      </c>
      <c r="L50" s="87">
        <f t="shared" si="27"/>
        <v>768</v>
      </c>
      <c r="M50" s="15">
        <f t="shared" si="28"/>
        <v>1.110990560920039</v>
      </c>
      <c r="N50" s="266">
        <v>1209</v>
      </c>
    </row>
    <row r="51" spans="1:14" x14ac:dyDescent="0.2">
      <c r="A51" s="265"/>
      <c r="B51" s="261"/>
      <c r="C51" s="144"/>
      <c r="D51" s="262"/>
      <c r="E51" s="267"/>
      <c r="F51" s="263"/>
      <c r="G51" s="143">
        <v>0</v>
      </c>
      <c r="H51" s="143">
        <v>0</v>
      </c>
      <c r="I51" s="87">
        <f t="shared" si="26"/>
        <v>0</v>
      </c>
      <c r="J51" s="153">
        <v>0</v>
      </c>
      <c r="K51" s="155">
        <v>0</v>
      </c>
      <c r="L51" s="87">
        <f t="shared" si="27"/>
        <v>0</v>
      </c>
      <c r="M51" s="15" t="str">
        <f t="shared" si="28"/>
        <v>N/A</v>
      </c>
      <c r="N51" s="266">
        <v>0</v>
      </c>
    </row>
    <row r="52" spans="1:14" x14ac:dyDescent="0.2">
      <c r="A52" s="265"/>
      <c r="B52" s="261"/>
      <c r="C52" s="144"/>
      <c r="D52" s="262"/>
      <c r="E52" s="267"/>
      <c r="F52" s="263"/>
      <c r="G52" s="143">
        <v>0</v>
      </c>
      <c r="H52" s="143">
        <v>0</v>
      </c>
      <c r="I52" s="87">
        <f t="shared" si="26"/>
        <v>0</v>
      </c>
      <c r="J52" s="153">
        <v>0</v>
      </c>
      <c r="K52" s="155">
        <v>0</v>
      </c>
      <c r="L52" s="87">
        <f t="shared" si="27"/>
        <v>0</v>
      </c>
      <c r="M52" s="15" t="str">
        <f t="shared" si="28"/>
        <v>N/A</v>
      </c>
      <c r="N52" s="266">
        <v>0</v>
      </c>
    </row>
    <row r="53" spans="1:14" ht="13.5" thickBot="1" x14ac:dyDescent="0.25">
      <c r="A53" s="222"/>
      <c r="B53" s="219"/>
      <c r="C53" s="268" t="s">
        <v>94</v>
      </c>
      <c r="D53" s="269"/>
      <c r="E53" s="269"/>
      <c r="F53" s="270"/>
      <c r="G53" s="88">
        <f t="shared" ref="G53:L53" si="29">SUM(G46:G52)</f>
        <v>33650.549999999996</v>
      </c>
      <c r="H53" s="88">
        <f t="shared" si="29"/>
        <v>19238.25</v>
      </c>
      <c r="I53" s="88">
        <f t="shared" si="29"/>
        <v>14412.300000000001</v>
      </c>
      <c r="J53" s="88">
        <f t="shared" si="29"/>
        <v>9498</v>
      </c>
      <c r="K53" s="88">
        <f t="shared" si="29"/>
        <v>7976</v>
      </c>
      <c r="L53" s="88">
        <f t="shared" si="29"/>
        <v>17474</v>
      </c>
      <c r="M53" s="25">
        <f>IFERROR(L53/H53,"N/A")</f>
        <v>0.90829467337205827</v>
      </c>
      <c r="N53" s="89">
        <f>SUM(N46:N52)</f>
        <v>26868</v>
      </c>
    </row>
    <row r="54" spans="1:14" ht="13.5" thickBot="1" x14ac:dyDescent="0.25"/>
    <row r="55" spans="1:14" s="231" customFormat="1" x14ac:dyDescent="0.2">
      <c r="A55" s="252" t="s">
        <v>95</v>
      </c>
      <c r="B55" s="253"/>
      <c r="C55" s="253"/>
      <c r="D55" s="253"/>
      <c r="E55" s="253"/>
      <c r="F55" s="254"/>
      <c r="G55" s="255"/>
      <c r="H55" s="255"/>
      <c r="I55" s="255"/>
      <c r="J55" s="255"/>
      <c r="K55" s="255"/>
      <c r="L55" s="255"/>
      <c r="M55" s="4"/>
      <c r="N55" s="3"/>
    </row>
    <row r="56" spans="1:14" s="231" customFormat="1" ht="11.25" x14ac:dyDescent="0.2">
      <c r="A56" s="256" t="s">
        <v>96</v>
      </c>
      <c r="B56" s="228"/>
      <c r="C56" s="228"/>
      <c r="D56" s="228"/>
      <c r="E56" s="228"/>
      <c r="F56" s="229"/>
      <c r="G56" s="230"/>
      <c r="H56" s="230"/>
      <c r="I56" s="230"/>
      <c r="J56" s="230"/>
      <c r="K56" s="230"/>
      <c r="L56" s="230"/>
      <c r="M56" s="6"/>
      <c r="N56" s="5"/>
    </row>
    <row r="57" spans="1:14" ht="33.75" x14ac:dyDescent="0.2">
      <c r="A57" s="257" t="s">
        <v>88</v>
      </c>
      <c r="B57" s="258"/>
      <c r="C57" s="259"/>
      <c r="D57" s="259"/>
      <c r="E57" s="259"/>
      <c r="F57" s="259"/>
      <c r="G57" s="234" t="s">
        <v>39</v>
      </c>
      <c r="H57" s="234" t="s">
        <v>40</v>
      </c>
      <c r="I57" s="234" t="s">
        <v>41</v>
      </c>
      <c r="J57" s="234" t="s">
        <v>42</v>
      </c>
      <c r="K57" s="234" t="s">
        <v>43</v>
      </c>
      <c r="L57" s="234" t="s">
        <v>44</v>
      </c>
      <c r="M57" s="23" t="s">
        <v>45</v>
      </c>
      <c r="N57" s="24" t="s">
        <v>46</v>
      </c>
    </row>
    <row r="58" spans="1:14" x14ac:dyDescent="0.2">
      <c r="A58" s="271" t="s">
        <v>97</v>
      </c>
      <c r="B58" s="272"/>
      <c r="C58" s="145"/>
      <c r="D58" s="273"/>
      <c r="E58" s="274"/>
      <c r="F58" s="263"/>
      <c r="G58" s="146">
        <f>(69.91*3.55)*12</f>
        <v>2978.1659999999997</v>
      </c>
      <c r="H58" s="146">
        <f>(69.91*3.55)*12</f>
        <v>2978.1659999999997</v>
      </c>
      <c r="I58" s="83">
        <f>G58-H58</f>
        <v>0</v>
      </c>
      <c r="J58" s="153">
        <v>1853</v>
      </c>
      <c r="K58" s="153">
        <f>1978-J58</f>
        <v>125</v>
      </c>
      <c r="L58" s="83">
        <f>SUM(J58:K58)</f>
        <v>1978</v>
      </c>
      <c r="M58" s="16">
        <f>IFERROR(L58/H58,"N/A")</f>
        <v>0.66416714179129044</v>
      </c>
      <c r="N58" s="264">
        <v>1978</v>
      </c>
    </row>
    <row r="59" spans="1:14" x14ac:dyDescent="0.2">
      <c r="A59" s="275" t="s">
        <v>98</v>
      </c>
      <c r="B59" s="272"/>
      <c r="C59" s="145"/>
      <c r="D59" s="273"/>
      <c r="E59" s="274"/>
      <c r="F59" s="263"/>
      <c r="G59" s="146">
        <f>(22.25*3.55)*12</f>
        <v>947.84999999999991</v>
      </c>
      <c r="H59" s="146">
        <f>(22.25*3.55)*12</f>
        <v>947.84999999999991</v>
      </c>
      <c r="I59" s="87">
        <f t="shared" ref="I59:I62" si="30">G59-H59</f>
        <v>0</v>
      </c>
      <c r="J59" s="153">
        <v>603</v>
      </c>
      <c r="K59" s="155">
        <f>1440-J59</f>
        <v>837</v>
      </c>
      <c r="L59" s="87">
        <f t="shared" ref="L59:L62" si="31">SUM(J59:K59)</f>
        <v>1440</v>
      </c>
      <c r="M59" s="15">
        <f t="shared" ref="M59:M62" si="32">IFERROR(L59/H59,"N/A")</f>
        <v>1.5192277259059979</v>
      </c>
      <c r="N59" s="266">
        <v>1471</v>
      </c>
    </row>
    <row r="60" spans="1:14" x14ac:dyDescent="0.2">
      <c r="A60" s="275" t="s">
        <v>99</v>
      </c>
      <c r="B60" s="272"/>
      <c r="C60" s="145"/>
      <c r="D60" s="273"/>
      <c r="E60" s="274"/>
      <c r="F60" s="263"/>
      <c r="G60" s="147">
        <v>1320</v>
      </c>
      <c r="H60" s="143">
        <f>1320+1000</f>
        <v>2320</v>
      </c>
      <c r="I60" s="90">
        <f t="shared" si="30"/>
        <v>-1000</v>
      </c>
      <c r="J60" s="154">
        <v>308</v>
      </c>
      <c r="K60" s="154">
        <f>2472-J60</f>
        <v>2164</v>
      </c>
      <c r="L60" s="87">
        <f t="shared" si="31"/>
        <v>2472</v>
      </c>
      <c r="M60" s="15">
        <f t="shared" si="32"/>
        <v>1.0655172413793104</v>
      </c>
      <c r="N60" s="266">
        <f>15161+15512</f>
        <v>30673</v>
      </c>
    </row>
    <row r="61" spans="1:14" x14ac:dyDescent="0.2">
      <c r="A61" s="275"/>
      <c r="B61" s="272"/>
      <c r="C61" s="145"/>
      <c r="D61" s="273"/>
      <c r="E61" s="274"/>
      <c r="F61" s="263"/>
      <c r="G61" s="143">
        <v>0</v>
      </c>
      <c r="H61" s="143">
        <v>0</v>
      </c>
      <c r="I61" s="90">
        <f t="shared" si="30"/>
        <v>0</v>
      </c>
      <c r="J61" s="154">
        <v>0</v>
      </c>
      <c r="K61" s="154">
        <v>0</v>
      </c>
      <c r="L61" s="87">
        <f t="shared" si="31"/>
        <v>0</v>
      </c>
      <c r="M61" s="15" t="str">
        <f t="shared" si="32"/>
        <v>N/A</v>
      </c>
      <c r="N61" s="266">
        <v>0</v>
      </c>
    </row>
    <row r="62" spans="1:14" x14ac:dyDescent="0.2">
      <c r="A62" s="275"/>
      <c r="B62" s="272"/>
      <c r="C62" s="145"/>
      <c r="D62" s="273"/>
      <c r="E62" s="274"/>
      <c r="F62" s="263"/>
      <c r="G62" s="143">
        <v>0</v>
      </c>
      <c r="H62" s="143">
        <v>0</v>
      </c>
      <c r="I62" s="90">
        <f t="shared" si="30"/>
        <v>0</v>
      </c>
      <c r="J62" s="154">
        <v>0</v>
      </c>
      <c r="K62" s="154">
        <v>0</v>
      </c>
      <c r="L62" s="87">
        <f t="shared" si="31"/>
        <v>0</v>
      </c>
      <c r="M62" s="15" t="str">
        <f t="shared" si="32"/>
        <v>N/A</v>
      </c>
      <c r="N62" s="266">
        <v>0</v>
      </c>
    </row>
    <row r="63" spans="1:14" ht="13.5" thickBot="1" x14ac:dyDescent="0.25">
      <c r="A63" s="222"/>
      <c r="B63" s="219"/>
      <c r="C63" s="268" t="s">
        <v>100</v>
      </c>
      <c r="D63" s="269"/>
      <c r="E63" s="269"/>
      <c r="F63" s="270"/>
      <c r="G63" s="88">
        <f t="shared" ref="G63:L63" si="33">SUM(G58:G62)</f>
        <v>5246.0159999999996</v>
      </c>
      <c r="H63" s="88">
        <f t="shared" si="33"/>
        <v>6246.0159999999996</v>
      </c>
      <c r="I63" s="88">
        <f t="shared" si="33"/>
        <v>-1000</v>
      </c>
      <c r="J63" s="88">
        <f t="shared" si="33"/>
        <v>2764</v>
      </c>
      <c r="K63" s="88">
        <f t="shared" si="33"/>
        <v>3126</v>
      </c>
      <c r="L63" s="88">
        <f t="shared" si="33"/>
        <v>5890</v>
      </c>
      <c r="M63" s="25">
        <f>IFERROR(L63/H63,"N/A")</f>
        <v>0.94300110662540737</v>
      </c>
      <c r="N63" s="89">
        <f>SUM(N58:N62)</f>
        <v>34122</v>
      </c>
    </row>
    <row r="64" spans="1:14" ht="13.5" thickBot="1" x14ac:dyDescent="0.25"/>
    <row r="65" spans="1:14" s="231" customFormat="1" x14ac:dyDescent="0.2">
      <c r="A65" s="276" t="s">
        <v>101</v>
      </c>
      <c r="B65" s="253"/>
      <c r="C65" s="253"/>
      <c r="D65" s="253"/>
      <c r="E65" s="253"/>
      <c r="F65" s="254"/>
      <c r="G65" s="255"/>
      <c r="H65" s="255"/>
      <c r="I65" s="255"/>
      <c r="J65" s="255"/>
      <c r="K65" s="255"/>
      <c r="L65" s="255"/>
      <c r="M65" s="4"/>
      <c r="N65" s="3"/>
    </row>
    <row r="66" spans="1:14" x14ac:dyDescent="0.2">
      <c r="A66" s="256" t="s">
        <v>102</v>
      </c>
      <c r="B66" s="228"/>
      <c r="C66" s="228"/>
      <c r="D66" s="228"/>
      <c r="E66" s="228"/>
      <c r="F66" s="229"/>
      <c r="G66" s="230"/>
      <c r="H66" s="230"/>
      <c r="I66" s="230"/>
      <c r="J66" s="230"/>
      <c r="K66" s="230"/>
      <c r="L66" s="230"/>
      <c r="M66" s="6"/>
      <c r="N66" s="5"/>
    </row>
    <row r="67" spans="1:14" ht="33.75" x14ac:dyDescent="0.2">
      <c r="A67" s="257" t="s">
        <v>88</v>
      </c>
      <c r="B67" s="258"/>
      <c r="C67" s="259"/>
      <c r="D67" s="259"/>
      <c r="E67" s="259"/>
      <c r="F67" s="259"/>
      <c r="G67" s="234" t="s">
        <v>39</v>
      </c>
      <c r="H67" s="234" t="s">
        <v>40</v>
      </c>
      <c r="I67" s="234" t="s">
        <v>41</v>
      </c>
      <c r="J67" s="234" t="s">
        <v>42</v>
      </c>
      <c r="K67" s="234" t="s">
        <v>43</v>
      </c>
      <c r="L67" s="234" t="s">
        <v>44</v>
      </c>
      <c r="M67" s="23" t="s">
        <v>45</v>
      </c>
      <c r="N67" s="24" t="s">
        <v>46</v>
      </c>
    </row>
    <row r="68" spans="1:14" x14ac:dyDescent="0.2">
      <c r="A68" s="271" t="s">
        <v>103</v>
      </c>
      <c r="B68" s="272"/>
      <c r="C68" s="145"/>
      <c r="D68" s="273"/>
      <c r="E68" s="274"/>
      <c r="F68" s="263"/>
      <c r="G68" s="141">
        <f>0.1345*105000</f>
        <v>14122.5</v>
      </c>
      <c r="H68" s="141">
        <f>0.1345*105000</f>
        <v>14122.5</v>
      </c>
      <c r="I68" s="83">
        <f t="shared" ref="I68:I84" si="34">G68-H68</f>
        <v>0</v>
      </c>
      <c r="J68" s="153">
        <v>6494</v>
      </c>
      <c r="K68" s="153">
        <f>12999-J68</f>
        <v>6505</v>
      </c>
      <c r="L68" s="83">
        <f>SUM(J68:K68)</f>
        <v>12999</v>
      </c>
      <c r="M68" s="16">
        <f>IFERROR(L68/H68,"N/A")</f>
        <v>0.92044609665427513</v>
      </c>
      <c r="N68" s="264">
        <v>12999</v>
      </c>
    </row>
    <row r="69" spans="1:14" x14ac:dyDescent="0.2">
      <c r="A69" s="275" t="s">
        <v>104</v>
      </c>
      <c r="B69" s="272"/>
      <c r="C69" s="145"/>
      <c r="D69" s="273"/>
      <c r="E69" s="274"/>
      <c r="F69" s="263"/>
      <c r="G69" s="141">
        <f>0.1345*57200</f>
        <v>7693.4000000000005</v>
      </c>
      <c r="H69" s="141">
        <f>0.1345*57200</f>
        <v>7693.4000000000005</v>
      </c>
      <c r="I69" s="87">
        <f t="shared" si="34"/>
        <v>0</v>
      </c>
      <c r="J69" s="153">
        <v>3389</v>
      </c>
      <c r="K69" s="155">
        <f>6952-J69</f>
        <v>3563</v>
      </c>
      <c r="L69" s="87">
        <f>SUM(J69:K69)</f>
        <v>6952</v>
      </c>
      <c r="M69" s="15">
        <f>IFERROR(L69/H69,"N/A")</f>
        <v>0.90363168430082919</v>
      </c>
      <c r="N69" s="266">
        <v>6952</v>
      </c>
    </row>
    <row r="70" spans="1:14" x14ac:dyDescent="0.2">
      <c r="A70" s="275" t="s">
        <v>105</v>
      </c>
      <c r="B70" s="272"/>
      <c r="C70" s="145"/>
      <c r="D70" s="273"/>
      <c r="E70" s="274"/>
      <c r="F70" s="263"/>
      <c r="G70" s="141">
        <v>3000</v>
      </c>
      <c r="H70" s="141">
        <v>3000</v>
      </c>
      <c r="I70" s="83">
        <f t="shared" si="34"/>
        <v>0</v>
      </c>
      <c r="J70" s="153">
        <f>2424</f>
        <v>2424</v>
      </c>
      <c r="K70" s="153">
        <f>5320-J70</f>
        <v>2896</v>
      </c>
      <c r="L70" s="83">
        <f t="shared" ref="L70:L80" si="35">SUM(J70:K70)</f>
        <v>5320</v>
      </c>
      <c r="M70" s="16">
        <f t="shared" ref="M70:M80" si="36">IFERROR(L70/H70,"N/A")</f>
        <v>1.7733333333333334</v>
      </c>
      <c r="N70" s="264">
        <v>7212</v>
      </c>
    </row>
    <row r="71" spans="1:14" x14ac:dyDescent="0.2">
      <c r="A71" s="275" t="s">
        <v>106</v>
      </c>
      <c r="B71" s="272"/>
      <c r="C71" s="145"/>
      <c r="D71" s="273"/>
      <c r="E71" s="274"/>
      <c r="F71" s="263"/>
      <c r="G71" s="143">
        <v>0</v>
      </c>
      <c r="H71" s="141">
        <v>0</v>
      </c>
      <c r="I71" s="83">
        <f t="shared" si="34"/>
        <v>0</v>
      </c>
      <c r="J71" s="153">
        <v>0</v>
      </c>
      <c r="K71" s="153">
        <f>0</f>
        <v>0</v>
      </c>
      <c r="L71" s="83">
        <f t="shared" si="35"/>
        <v>0</v>
      </c>
      <c r="M71" s="16" t="str">
        <f t="shared" si="36"/>
        <v>N/A</v>
      </c>
      <c r="N71" s="264">
        <v>0</v>
      </c>
    </row>
    <row r="72" spans="1:14" x14ac:dyDescent="0.2">
      <c r="A72" s="275" t="s">
        <v>107</v>
      </c>
      <c r="B72" s="272"/>
      <c r="C72" s="145"/>
      <c r="D72" s="273"/>
      <c r="E72" s="274"/>
      <c r="F72" s="263"/>
      <c r="G72" s="146">
        <f>(50*3.55)*12</f>
        <v>2130</v>
      </c>
      <c r="H72" s="146">
        <v>2040</v>
      </c>
      <c r="I72" s="83">
        <f t="shared" si="34"/>
        <v>90</v>
      </c>
      <c r="J72" s="153">
        <v>1127</v>
      </c>
      <c r="K72" s="153">
        <f>3194-J72</f>
        <v>2067</v>
      </c>
      <c r="L72" s="83">
        <f t="shared" si="35"/>
        <v>3194</v>
      </c>
      <c r="M72" s="16">
        <f t="shared" si="36"/>
        <v>1.5656862745098039</v>
      </c>
      <c r="N72" s="264">
        <v>3194</v>
      </c>
    </row>
    <row r="73" spans="1:14" x14ac:dyDescent="0.2">
      <c r="A73" s="275" t="s">
        <v>108</v>
      </c>
      <c r="B73" s="272"/>
      <c r="C73" s="145"/>
      <c r="D73" s="273"/>
      <c r="E73" s="274"/>
      <c r="F73" s="263"/>
      <c r="G73" s="147">
        <v>0</v>
      </c>
      <c r="H73" s="143">
        <v>0</v>
      </c>
      <c r="I73" s="90">
        <f t="shared" si="34"/>
        <v>0</v>
      </c>
      <c r="J73" s="154">
        <v>0</v>
      </c>
      <c r="K73" s="154">
        <v>0</v>
      </c>
      <c r="L73" s="87">
        <f t="shared" si="35"/>
        <v>0</v>
      </c>
      <c r="M73" s="15" t="str">
        <f t="shared" si="36"/>
        <v>N/A</v>
      </c>
      <c r="N73" s="266">
        <v>0</v>
      </c>
    </row>
    <row r="74" spans="1:14" x14ac:dyDescent="0.2">
      <c r="A74" s="275" t="s">
        <v>109</v>
      </c>
      <c r="B74" s="272"/>
      <c r="C74" s="145"/>
      <c r="D74" s="273"/>
      <c r="E74" s="274"/>
      <c r="F74" s="263"/>
      <c r="G74" s="143">
        <v>1200</v>
      </c>
      <c r="H74" s="143">
        <v>1200</v>
      </c>
      <c r="I74" s="90">
        <f t="shared" si="34"/>
        <v>0</v>
      </c>
      <c r="J74" s="154">
        <f>303+204</f>
        <v>507</v>
      </c>
      <c r="K74" s="154">
        <f>1471-J74</f>
        <v>964</v>
      </c>
      <c r="L74" s="87">
        <f t="shared" si="35"/>
        <v>1471</v>
      </c>
      <c r="M74" s="15">
        <f t="shared" si="36"/>
        <v>1.2258333333333333</v>
      </c>
      <c r="N74" s="266">
        <v>1471</v>
      </c>
    </row>
    <row r="75" spans="1:14" x14ac:dyDescent="0.2">
      <c r="A75" s="275" t="s">
        <v>110</v>
      </c>
      <c r="B75" s="272"/>
      <c r="C75" s="145"/>
      <c r="D75" s="273"/>
      <c r="E75" s="274"/>
      <c r="F75" s="263"/>
      <c r="G75" s="146">
        <f>(53.39*3.55)*12</f>
        <v>2274.4139999999998</v>
      </c>
      <c r="H75" s="146">
        <f>(53.39*3.4)*12</f>
        <v>2178.3119999999999</v>
      </c>
      <c r="I75" s="90">
        <f t="shared" si="34"/>
        <v>96.101999999999862</v>
      </c>
      <c r="J75" s="154">
        <v>1613</v>
      </c>
      <c r="K75" s="154">
        <f>3466.04-J75</f>
        <v>1853.04</v>
      </c>
      <c r="L75" s="87">
        <f t="shared" si="35"/>
        <v>3466.04</v>
      </c>
      <c r="M75" s="15">
        <f t="shared" si="36"/>
        <v>1.5911586586310869</v>
      </c>
      <c r="N75" s="266">
        <v>3466.04</v>
      </c>
    </row>
    <row r="76" spans="1:14" x14ac:dyDescent="0.2">
      <c r="A76" s="275" t="s">
        <v>111</v>
      </c>
      <c r="B76" s="272"/>
      <c r="C76" s="145"/>
      <c r="D76" s="273"/>
      <c r="E76" s="274"/>
      <c r="F76" s="263"/>
      <c r="G76" s="143">
        <v>241</v>
      </c>
      <c r="H76" s="143">
        <v>241</v>
      </c>
      <c r="I76" s="90">
        <f t="shared" si="34"/>
        <v>0</v>
      </c>
      <c r="J76" s="154">
        <v>402</v>
      </c>
      <c r="K76" s="154">
        <f>708.65-J76</f>
        <v>306.64999999999998</v>
      </c>
      <c r="L76" s="87">
        <f t="shared" si="35"/>
        <v>708.65</v>
      </c>
      <c r="M76" s="15">
        <f t="shared" si="36"/>
        <v>2.9404564315352695</v>
      </c>
      <c r="N76" s="266">
        <v>708.65</v>
      </c>
    </row>
    <row r="77" spans="1:14" x14ac:dyDescent="0.2">
      <c r="A77" s="275" t="s">
        <v>112</v>
      </c>
      <c r="B77" s="272"/>
      <c r="C77" s="145"/>
      <c r="D77" s="273"/>
      <c r="E77" s="274"/>
      <c r="F77" s="263"/>
      <c r="G77" s="143">
        <v>300</v>
      </c>
      <c r="H77" s="143">
        <v>300</v>
      </c>
      <c r="I77" s="90">
        <f t="shared" si="34"/>
        <v>0</v>
      </c>
      <c r="J77" s="154">
        <v>748</v>
      </c>
      <c r="K77" s="154">
        <f>1455.91-J77</f>
        <v>707.91000000000008</v>
      </c>
      <c r="L77" s="87">
        <f t="shared" si="35"/>
        <v>1455.91</v>
      </c>
      <c r="M77" s="15">
        <f t="shared" si="36"/>
        <v>4.8530333333333333</v>
      </c>
      <c r="N77" s="266">
        <v>1455.91</v>
      </c>
    </row>
    <row r="78" spans="1:14" x14ac:dyDescent="0.2">
      <c r="A78" s="275" t="s">
        <v>113</v>
      </c>
      <c r="B78" s="272"/>
      <c r="C78" s="145"/>
      <c r="D78" s="273"/>
      <c r="E78" s="274"/>
      <c r="F78" s="263"/>
      <c r="G78" s="147">
        <v>300</v>
      </c>
      <c r="H78" s="141">
        <v>300</v>
      </c>
      <c r="I78" s="90">
        <f t="shared" si="34"/>
        <v>0</v>
      </c>
      <c r="J78" s="154">
        <v>267</v>
      </c>
      <c r="K78" s="154">
        <f>508.18-J78</f>
        <v>241.18</v>
      </c>
      <c r="L78" s="87">
        <f t="shared" si="35"/>
        <v>508.18</v>
      </c>
      <c r="M78" s="15">
        <f t="shared" si="36"/>
        <v>1.6939333333333333</v>
      </c>
      <c r="N78" s="266">
        <v>508.18</v>
      </c>
    </row>
    <row r="79" spans="1:14" x14ac:dyDescent="0.2">
      <c r="A79" s="275" t="s">
        <v>114</v>
      </c>
      <c r="B79" s="272"/>
      <c r="C79" s="145"/>
      <c r="D79" s="273"/>
      <c r="E79" s="274"/>
      <c r="F79" s="263"/>
      <c r="G79" s="143">
        <v>5000</v>
      </c>
      <c r="H79" s="141">
        <v>5000</v>
      </c>
      <c r="I79" s="83">
        <f t="shared" si="34"/>
        <v>0</v>
      </c>
      <c r="J79" s="153">
        <v>0</v>
      </c>
      <c r="K79" s="153">
        <f>0</f>
        <v>0</v>
      </c>
      <c r="L79" s="83">
        <f t="shared" si="35"/>
        <v>0</v>
      </c>
      <c r="M79" s="16">
        <f t="shared" si="36"/>
        <v>0</v>
      </c>
      <c r="N79" s="264">
        <v>0</v>
      </c>
    </row>
    <row r="80" spans="1:14" x14ac:dyDescent="0.2">
      <c r="A80" s="275" t="s">
        <v>115</v>
      </c>
      <c r="B80" s="272"/>
      <c r="C80" s="145"/>
      <c r="D80" s="273"/>
      <c r="E80" s="274"/>
      <c r="F80" s="263"/>
      <c r="G80" s="143">
        <v>2260</v>
      </c>
      <c r="H80" s="146">
        <v>2204</v>
      </c>
      <c r="I80" s="87">
        <f t="shared" si="34"/>
        <v>56</v>
      </c>
      <c r="J80" s="153">
        <v>562</v>
      </c>
      <c r="K80" s="155">
        <f>2401.37-J80</f>
        <v>1839.37</v>
      </c>
      <c r="L80" s="87">
        <f t="shared" si="35"/>
        <v>2401.37</v>
      </c>
      <c r="M80" s="15">
        <f t="shared" si="36"/>
        <v>1.0895508166969146</v>
      </c>
      <c r="N80" s="266">
        <v>2401.37</v>
      </c>
    </row>
    <row r="81" spans="1:14" ht="15" customHeight="1" x14ac:dyDescent="0.2">
      <c r="A81" s="277" t="s">
        <v>116</v>
      </c>
      <c r="B81" s="272"/>
      <c r="C81" s="145"/>
      <c r="D81" s="273"/>
      <c r="E81" s="274"/>
      <c r="F81" s="263"/>
      <c r="G81" s="143">
        <f>3460/12</f>
        <v>288.33333333333331</v>
      </c>
      <c r="H81" s="141">
        <v>288</v>
      </c>
      <c r="I81" s="83">
        <f t="shared" si="34"/>
        <v>0.33333333333331439</v>
      </c>
      <c r="J81" s="153">
        <v>0</v>
      </c>
      <c r="K81" s="153">
        <f>82-J81</f>
        <v>82</v>
      </c>
      <c r="L81" s="83">
        <f t="shared" ref="L81:L84" si="37">SUM(J81:K81)</f>
        <v>82</v>
      </c>
      <c r="M81" s="16">
        <f t="shared" ref="M81:M84" si="38">IFERROR(L81/H81,"N/A")</f>
        <v>0.28472222222222221</v>
      </c>
      <c r="N81" s="264">
        <v>82</v>
      </c>
    </row>
    <row r="82" spans="1:14" x14ac:dyDescent="0.2">
      <c r="A82" s="275" t="s">
        <v>117</v>
      </c>
      <c r="B82" s="272"/>
      <c r="C82" s="148"/>
      <c r="D82" s="278"/>
      <c r="E82" s="279"/>
      <c r="F82" s="263"/>
      <c r="G82" s="146">
        <v>360</v>
      </c>
      <c r="H82" s="141">
        <v>360</v>
      </c>
      <c r="I82" s="83">
        <f t="shared" si="34"/>
        <v>0</v>
      </c>
      <c r="J82" s="153">
        <v>663</v>
      </c>
      <c r="K82" s="153">
        <f>772-J82</f>
        <v>109</v>
      </c>
      <c r="L82" s="83">
        <f t="shared" si="37"/>
        <v>772</v>
      </c>
      <c r="M82" s="16">
        <f t="shared" si="38"/>
        <v>2.1444444444444444</v>
      </c>
      <c r="N82" s="264">
        <v>772</v>
      </c>
    </row>
    <row r="83" spans="1:14" x14ac:dyDescent="0.2">
      <c r="A83" s="277"/>
      <c r="B83" s="272"/>
      <c r="C83" s="148"/>
      <c r="D83" s="278"/>
      <c r="E83" s="279"/>
      <c r="F83" s="263"/>
      <c r="G83" s="143">
        <v>0</v>
      </c>
      <c r="H83" s="141">
        <v>0</v>
      </c>
      <c r="I83" s="83">
        <f t="shared" ref="I83" si="39">G83-H83</f>
        <v>0</v>
      </c>
      <c r="J83" s="153">
        <v>0</v>
      </c>
      <c r="K83" s="153">
        <v>0</v>
      </c>
      <c r="L83" s="83">
        <f t="shared" ref="L83" si="40">SUM(J83:K83)</f>
        <v>0</v>
      </c>
      <c r="M83" s="16" t="str">
        <f t="shared" ref="M83" si="41">IFERROR(L83/H83,"N/A")</f>
        <v>N/A</v>
      </c>
      <c r="N83" s="264">
        <v>0</v>
      </c>
    </row>
    <row r="84" spans="1:14" x14ac:dyDescent="0.2">
      <c r="A84" s="277"/>
      <c r="B84" s="272"/>
      <c r="C84" s="148"/>
      <c r="D84" s="278"/>
      <c r="E84" s="279"/>
      <c r="F84" s="263"/>
      <c r="G84" s="143">
        <v>0</v>
      </c>
      <c r="H84" s="141">
        <v>0</v>
      </c>
      <c r="I84" s="83">
        <f t="shared" si="34"/>
        <v>0</v>
      </c>
      <c r="J84" s="153">
        <v>0</v>
      </c>
      <c r="K84" s="153">
        <v>0</v>
      </c>
      <c r="L84" s="83">
        <f t="shared" si="37"/>
        <v>0</v>
      </c>
      <c r="M84" s="16" t="str">
        <f t="shared" si="38"/>
        <v>N/A</v>
      </c>
      <c r="N84" s="264">
        <v>0</v>
      </c>
    </row>
    <row r="85" spans="1:14" ht="13.5" thickBot="1" x14ac:dyDescent="0.25">
      <c r="A85" s="222"/>
      <c r="B85" s="219"/>
      <c r="C85" s="268" t="s">
        <v>118</v>
      </c>
      <c r="D85" s="269"/>
      <c r="E85" s="269"/>
      <c r="F85" s="270"/>
      <c r="G85" s="88">
        <f t="shared" ref="G85:L85" si="42">SUM(G68:G84)</f>
        <v>39169.647333333334</v>
      </c>
      <c r="H85" s="88">
        <f t="shared" si="42"/>
        <v>38927.212</v>
      </c>
      <c r="I85" s="88">
        <f t="shared" si="42"/>
        <v>242.43533333333318</v>
      </c>
      <c r="J85" s="88">
        <f t="shared" si="42"/>
        <v>18196</v>
      </c>
      <c r="K85" s="88">
        <f t="shared" si="42"/>
        <v>21134.15</v>
      </c>
      <c r="L85" s="88">
        <f t="shared" si="42"/>
        <v>39330.150000000009</v>
      </c>
      <c r="M85" s="25">
        <f>IFERROR(L85/H85,"N/A")</f>
        <v>1.0103510623879257</v>
      </c>
      <c r="N85" s="89">
        <f>SUM(N68:N84)</f>
        <v>41222.150000000009</v>
      </c>
    </row>
    <row r="86" spans="1:14" ht="13.5" thickBot="1" x14ac:dyDescent="0.25"/>
    <row r="87" spans="1:14" s="231" customFormat="1" x14ac:dyDescent="0.2">
      <c r="A87" s="252" t="s">
        <v>119</v>
      </c>
      <c r="B87" s="253"/>
      <c r="C87" s="253"/>
      <c r="D87" s="253"/>
      <c r="E87" s="253"/>
      <c r="F87" s="254"/>
      <c r="G87" s="255"/>
      <c r="H87" s="255"/>
      <c r="I87" s="255"/>
      <c r="J87" s="255"/>
      <c r="K87" s="255"/>
      <c r="L87" s="255"/>
      <c r="M87" s="4"/>
      <c r="N87" s="3"/>
    </row>
    <row r="88" spans="1:14" x14ac:dyDescent="0.2">
      <c r="A88" s="256" t="s">
        <v>120</v>
      </c>
      <c r="B88" s="228"/>
      <c r="C88" s="228"/>
      <c r="D88" s="228"/>
      <c r="E88" s="228"/>
      <c r="F88" s="229"/>
      <c r="G88" s="230"/>
      <c r="H88" s="230"/>
      <c r="I88" s="230"/>
      <c r="J88" s="230"/>
      <c r="K88" s="230"/>
      <c r="L88" s="230"/>
      <c r="M88" s="6"/>
      <c r="N88" s="5"/>
    </row>
    <row r="89" spans="1:14" ht="33.75" x14ac:dyDescent="0.2">
      <c r="A89" s="257" t="s">
        <v>88</v>
      </c>
      <c r="B89" s="258"/>
      <c r="C89" s="259"/>
      <c r="D89" s="259"/>
      <c r="E89" s="259"/>
      <c r="F89" s="259"/>
      <c r="G89" s="234" t="s">
        <v>39</v>
      </c>
      <c r="H89" s="234" t="s">
        <v>40</v>
      </c>
      <c r="I89" s="234" t="s">
        <v>41</v>
      </c>
      <c r="J89" s="234" t="s">
        <v>42</v>
      </c>
      <c r="K89" s="234" t="s">
        <v>43</v>
      </c>
      <c r="L89" s="234" t="s">
        <v>44</v>
      </c>
      <c r="M89" s="23" t="s">
        <v>45</v>
      </c>
      <c r="N89" s="24" t="s">
        <v>46</v>
      </c>
    </row>
    <row r="90" spans="1:14" x14ac:dyDescent="0.2">
      <c r="A90" s="271"/>
      <c r="B90" s="272"/>
      <c r="C90" s="145"/>
      <c r="D90" s="273"/>
      <c r="E90" s="274"/>
      <c r="F90" s="263"/>
      <c r="G90" s="141">
        <v>0</v>
      </c>
      <c r="H90" s="141">
        <v>0</v>
      </c>
      <c r="I90" s="83">
        <f t="shared" ref="I90:I92" si="43">G90-H90</f>
        <v>0</v>
      </c>
      <c r="J90" s="153">
        <v>0</v>
      </c>
      <c r="K90" s="153">
        <v>0</v>
      </c>
      <c r="L90" s="83">
        <f>SUM(J90:K90)</f>
        <v>0</v>
      </c>
      <c r="M90" s="16" t="str">
        <f>IFERROR(L90/H90,"N/A")</f>
        <v>N/A</v>
      </c>
      <c r="N90" s="264">
        <v>0</v>
      </c>
    </row>
    <row r="91" spans="1:14" x14ac:dyDescent="0.2">
      <c r="A91" s="275"/>
      <c r="B91" s="272"/>
      <c r="C91" s="145"/>
      <c r="D91" s="273"/>
      <c r="E91" s="274"/>
      <c r="F91" s="263"/>
      <c r="G91" s="141">
        <v>0</v>
      </c>
      <c r="H91" s="141">
        <v>0</v>
      </c>
      <c r="I91" s="83">
        <f t="shared" si="43"/>
        <v>0</v>
      </c>
      <c r="J91" s="153">
        <v>0</v>
      </c>
      <c r="K91" s="153">
        <v>0</v>
      </c>
      <c r="L91" s="83">
        <f t="shared" ref="L91:L92" si="44">SUM(J91:K91)</f>
        <v>0</v>
      </c>
      <c r="M91" s="16" t="str">
        <f t="shared" ref="M91:M92" si="45">IFERROR(L91/H91,"N/A")</f>
        <v>N/A</v>
      </c>
      <c r="N91" s="264">
        <v>0</v>
      </c>
    </row>
    <row r="92" spans="1:14" x14ac:dyDescent="0.2">
      <c r="A92" s="275"/>
      <c r="B92" s="272"/>
      <c r="C92" s="145"/>
      <c r="D92" s="273"/>
      <c r="E92" s="274"/>
      <c r="F92" s="263"/>
      <c r="G92" s="141">
        <v>0</v>
      </c>
      <c r="H92" s="141">
        <v>0</v>
      </c>
      <c r="I92" s="83">
        <f t="shared" si="43"/>
        <v>0</v>
      </c>
      <c r="J92" s="153">
        <v>0</v>
      </c>
      <c r="K92" s="153">
        <v>0</v>
      </c>
      <c r="L92" s="83">
        <f t="shared" si="44"/>
        <v>0</v>
      </c>
      <c r="M92" s="16" t="str">
        <f t="shared" si="45"/>
        <v>N/A</v>
      </c>
      <c r="N92" s="264">
        <v>0</v>
      </c>
    </row>
    <row r="93" spans="1:14" ht="13.5" thickBot="1" x14ac:dyDescent="0.25">
      <c r="A93" s="222"/>
      <c r="B93" s="219"/>
      <c r="C93" s="268" t="s">
        <v>121</v>
      </c>
      <c r="D93" s="269"/>
      <c r="E93" s="269"/>
      <c r="F93" s="270"/>
      <c r="G93" s="88">
        <f t="shared" ref="G93:L93" si="46">SUM(G90:G92)</f>
        <v>0</v>
      </c>
      <c r="H93" s="88">
        <f t="shared" si="46"/>
        <v>0</v>
      </c>
      <c r="I93" s="88">
        <f t="shared" si="46"/>
        <v>0</v>
      </c>
      <c r="J93" s="88">
        <f t="shared" si="46"/>
        <v>0</v>
      </c>
      <c r="K93" s="88">
        <f t="shared" si="46"/>
        <v>0</v>
      </c>
      <c r="L93" s="88">
        <f t="shared" si="46"/>
        <v>0</v>
      </c>
      <c r="M93" s="25" t="str">
        <f>IFERROR(L93/H93,"N/A")</f>
        <v>N/A</v>
      </c>
      <c r="N93" s="89">
        <f>SUM(N90:N92)</f>
        <v>0</v>
      </c>
    </row>
    <row r="94" spans="1:14" ht="13.5" thickBot="1" x14ac:dyDescent="0.25"/>
    <row r="95" spans="1:14" s="231" customFormat="1" x14ac:dyDescent="0.2">
      <c r="A95" s="252" t="s">
        <v>122</v>
      </c>
      <c r="B95" s="253"/>
      <c r="C95" s="253"/>
      <c r="D95" s="253"/>
      <c r="E95" s="253"/>
      <c r="F95" s="254"/>
      <c r="G95" s="255"/>
      <c r="H95" s="255"/>
      <c r="I95" s="255"/>
      <c r="J95" s="255"/>
      <c r="K95" s="255"/>
      <c r="L95" s="255"/>
      <c r="M95" s="4"/>
      <c r="N95" s="3"/>
    </row>
    <row r="96" spans="1:14" x14ac:dyDescent="0.2">
      <c r="A96" s="256" t="s">
        <v>123</v>
      </c>
      <c r="B96" s="228"/>
      <c r="C96" s="228"/>
      <c r="D96" s="228"/>
      <c r="E96" s="228"/>
      <c r="F96" s="229"/>
      <c r="G96" s="230"/>
      <c r="H96" s="230"/>
      <c r="I96" s="230"/>
      <c r="J96" s="230"/>
      <c r="K96" s="230"/>
      <c r="L96" s="230"/>
      <c r="M96" s="6"/>
      <c r="N96" s="5"/>
    </row>
    <row r="97" spans="1:14" ht="33.75" x14ac:dyDescent="0.2">
      <c r="A97" s="257" t="s">
        <v>88</v>
      </c>
      <c r="B97" s="258"/>
      <c r="C97" s="259"/>
      <c r="D97" s="259"/>
      <c r="E97" s="259"/>
      <c r="F97" s="259"/>
      <c r="G97" s="234" t="s">
        <v>39</v>
      </c>
      <c r="H97" s="234" t="s">
        <v>40</v>
      </c>
      <c r="I97" s="234" t="s">
        <v>41</v>
      </c>
      <c r="J97" s="234" t="s">
        <v>42</v>
      </c>
      <c r="K97" s="234" t="s">
        <v>43</v>
      </c>
      <c r="L97" s="234" t="s">
        <v>44</v>
      </c>
      <c r="M97" s="23" t="s">
        <v>45</v>
      </c>
      <c r="N97" s="24" t="s">
        <v>46</v>
      </c>
    </row>
    <row r="98" spans="1:14" x14ac:dyDescent="0.2">
      <c r="A98" s="271"/>
      <c r="B98" s="272"/>
      <c r="C98" s="145"/>
      <c r="D98" s="273"/>
      <c r="E98" s="274"/>
      <c r="F98" s="263"/>
      <c r="G98" s="141">
        <v>0</v>
      </c>
      <c r="H98" s="141">
        <v>0</v>
      </c>
      <c r="I98" s="83">
        <f t="shared" ref="I98:I100" si="47">G98-H98</f>
        <v>0</v>
      </c>
      <c r="J98" s="153">
        <v>0</v>
      </c>
      <c r="K98" s="153">
        <v>0</v>
      </c>
      <c r="L98" s="83">
        <f>SUM(J98:K98)</f>
        <v>0</v>
      </c>
      <c r="M98" s="16" t="str">
        <f>IFERROR(L98/H98,"N/A")</f>
        <v>N/A</v>
      </c>
      <c r="N98" s="264">
        <v>0</v>
      </c>
    </row>
    <row r="99" spans="1:14" x14ac:dyDescent="0.2">
      <c r="A99" s="275"/>
      <c r="B99" s="272"/>
      <c r="C99" s="145"/>
      <c r="D99" s="273"/>
      <c r="E99" s="274"/>
      <c r="F99" s="263"/>
      <c r="G99" s="141">
        <v>0</v>
      </c>
      <c r="H99" s="141">
        <v>0</v>
      </c>
      <c r="I99" s="83">
        <f t="shared" si="47"/>
        <v>0</v>
      </c>
      <c r="J99" s="153">
        <v>0</v>
      </c>
      <c r="K99" s="153">
        <v>0</v>
      </c>
      <c r="L99" s="83">
        <f t="shared" ref="L99:L100" si="48">SUM(J99:K99)</f>
        <v>0</v>
      </c>
      <c r="M99" s="16" t="str">
        <f t="shared" ref="M99:M100" si="49">IFERROR(L99/H99,"N/A")</f>
        <v>N/A</v>
      </c>
      <c r="N99" s="264">
        <v>0</v>
      </c>
    </row>
    <row r="100" spans="1:14" x14ac:dyDescent="0.2">
      <c r="A100" s="275"/>
      <c r="B100" s="272"/>
      <c r="C100" s="145"/>
      <c r="D100" s="273"/>
      <c r="E100" s="274"/>
      <c r="F100" s="263"/>
      <c r="G100" s="141">
        <v>0</v>
      </c>
      <c r="H100" s="141">
        <v>0</v>
      </c>
      <c r="I100" s="83">
        <f t="shared" si="47"/>
        <v>0</v>
      </c>
      <c r="J100" s="153">
        <v>0</v>
      </c>
      <c r="K100" s="153">
        <v>0</v>
      </c>
      <c r="L100" s="83">
        <f t="shared" si="48"/>
        <v>0</v>
      </c>
      <c r="M100" s="16" t="str">
        <f t="shared" si="49"/>
        <v>N/A</v>
      </c>
      <c r="N100" s="264">
        <v>0</v>
      </c>
    </row>
    <row r="101" spans="1:14" ht="13.5" thickBot="1" x14ac:dyDescent="0.25">
      <c r="A101" s="222"/>
      <c r="B101" s="219"/>
      <c r="C101" s="268" t="s">
        <v>124</v>
      </c>
      <c r="D101" s="269"/>
      <c r="E101" s="269"/>
      <c r="F101" s="270"/>
      <c r="G101" s="88">
        <f t="shared" ref="G101:L101" si="50">SUM(G98:G100)</f>
        <v>0</v>
      </c>
      <c r="H101" s="88">
        <f t="shared" si="50"/>
        <v>0</v>
      </c>
      <c r="I101" s="88">
        <f t="shared" si="50"/>
        <v>0</v>
      </c>
      <c r="J101" s="88">
        <f t="shared" si="50"/>
        <v>0</v>
      </c>
      <c r="K101" s="88">
        <f t="shared" si="50"/>
        <v>0</v>
      </c>
      <c r="L101" s="88">
        <f t="shared" si="50"/>
        <v>0</v>
      </c>
      <c r="M101" s="25" t="str">
        <f>IFERROR(L101/H101,"N/A")</f>
        <v>N/A</v>
      </c>
      <c r="N101" s="89">
        <f>SUM(N98:N100)</f>
        <v>0</v>
      </c>
    </row>
    <row r="102" spans="1:14" ht="13.5" thickBot="1" x14ac:dyDescent="0.25"/>
    <row r="103" spans="1:14" s="231" customFormat="1" x14ac:dyDescent="0.2">
      <c r="A103" s="252" t="s">
        <v>125</v>
      </c>
      <c r="B103" s="253"/>
      <c r="C103" s="253"/>
      <c r="D103" s="253"/>
      <c r="E103" s="253"/>
      <c r="F103" s="254"/>
      <c r="G103" s="255"/>
      <c r="H103" s="255"/>
      <c r="I103" s="255"/>
      <c r="J103" s="255"/>
      <c r="K103" s="255"/>
      <c r="L103" s="255"/>
      <c r="M103" s="4"/>
      <c r="N103" s="3"/>
    </row>
    <row r="104" spans="1:14" s="231" customFormat="1" ht="11.25" x14ac:dyDescent="0.2">
      <c r="A104" s="256" t="s">
        <v>126</v>
      </c>
      <c r="B104" s="280"/>
      <c r="C104" s="280"/>
      <c r="D104" s="280"/>
      <c r="E104" s="280"/>
      <c r="F104" s="229"/>
      <c r="G104" s="229"/>
      <c r="H104" s="229"/>
      <c r="I104" s="229"/>
      <c r="J104" s="229"/>
      <c r="K104" s="229"/>
      <c r="L104" s="229"/>
      <c r="M104" s="67"/>
      <c r="N104" s="281"/>
    </row>
    <row r="105" spans="1:14" s="231" customFormat="1" ht="11.25" x14ac:dyDescent="0.2">
      <c r="A105" s="282" t="s">
        <v>127</v>
      </c>
      <c r="B105" s="280"/>
      <c r="C105" s="280"/>
      <c r="D105" s="280"/>
      <c r="E105" s="280"/>
      <c r="F105" s="229"/>
      <c r="G105" s="229"/>
      <c r="H105" s="229"/>
      <c r="I105" s="229"/>
      <c r="J105" s="229"/>
      <c r="K105" s="229"/>
      <c r="L105" s="229"/>
      <c r="M105" s="67"/>
      <c r="N105" s="281"/>
    </row>
    <row r="106" spans="1:14" s="231" customFormat="1" ht="11.25" x14ac:dyDescent="0.2">
      <c r="A106" s="282" t="s">
        <v>128</v>
      </c>
      <c r="B106" s="280"/>
      <c r="C106" s="280"/>
      <c r="D106" s="280"/>
      <c r="E106" s="280"/>
      <c r="F106" s="280"/>
      <c r="G106" s="26"/>
      <c r="H106" s="26"/>
      <c r="I106" s="26"/>
      <c r="J106" s="26"/>
      <c r="K106" s="26"/>
      <c r="L106" s="26"/>
      <c r="M106" s="27"/>
      <c r="N106" s="28"/>
    </row>
    <row r="107" spans="1:14" ht="34.5" thickBot="1" x14ac:dyDescent="0.25">
      <c r="A107" s="257" t="s">
        <v>88</v>
      </c>
      <c r="B107" s="258"/>
      <c r="C107" s="259"/>
      <c r="D107" s="259"/>
      <c r="E107" s="259"/>
      <c r="F107" s="259"/>
      <c r="G107" s="234" t="s">
        <v>39</v>
      </c>
      <c r="H107" s="234" t="s">
        <v>40</v>
      </c>
      <c r="I107" s="234" t="s">
        <v>41</v>
      </c>
      <c r="J107" s="234" t="s">
        <v>42</v>
      </c>
      <c r="K107" s="234" t="s">
        <v>43</v>
      </c>
      <c r="L107" s="234" t="s">
        <v>44</v>
      </c>
      <c r="M107" s="23" t="s">
        <v>45</v>
      </c>
      <c r="N107" s="24" t="s">
        <v>46</v>
      </c>
    </row>
    <row r="108" spans="1:14" ht="13.5" thickBot="1" x14ac:dyDescent="0.25">
      <c r="A108" s="283" t="s">
        <v>129</v>
      </c>
      <c r="B108" s="284"/>
      <c r="C108" s="149"/>
      <c r="D108" s="263"/>
      <c r="E108" s="285" t="s">
        <v>130</v>
      </c>
      <c r="F108" s="286">
        <f>IFERROR(H110/H112,"N/A")</f>
        <v>9.2828160736150578E-2</v>
      </c>
      <c r="G108" s="143">
        <f>G41*0.15</f>
        <v>33650.549999999996</v>
      </c>
      <c r="H108" s="143">
        <f>H41*0.15</f>
        <v>20738.25</v>
      </c>
      <c r="I108" s="90">
        <f>G108-H108</f>
        <v>12912.299999999996</v>
      </c>
      <c r="J108" s="154">
        <v>10368</v>
      </c>
      <c r="K108" s="154">
        <f>20736.17+1.83-J108</f>
        <v>10370</v>
      </c>
      <c r="L108" s="83">
        <f>SUM(J108:K108)</f>
        <v>20738</v>
      </c>
      <c r="M108" s="16">
        <f>IFERROR(L108/H108,"N/A")</f>
        <v>0.99998794498089283</v>
      </c>
      <c r="N108" s="264">
        <v>69261</v>
      </c>
    </row>
    <row r="109" spans="1:14" ht="13.5" thickBot="1" x14ac:dyDescent="0.25">
      <c r="A109" s="287"/>
      <c r="B109" s="284"/>
      <c r="C109" s="150"/>
      <c r="D109" s="263"/>
      <c r="E109" s="285" t="s">
        <v>130</v>
      </c>
      <c r="F109" s="286" t="str">
        <f>IFERROR(H111/H113,"N/A")</f>
        <v>N/A</v>
      </c>
      <c r="G109" s="143">
        <v>0</v>
      </c>
      <c r="H109" s="143">
        <v>0</v>
      </c>
      <c r="I109" s="90">
        <f t="shared" ref="I109" si="51">G109-H109</f>
        <v>0</v>
      </c>
      <c r="J109" s="154">
        <v>0</v>
      </c>
      <c r="K109" s="154">
        <v>0</v>
      </c>
      <c r="L109" s="90">
        <f>SUM(J109:K109)</f>
        <v>0</v>
      </c>
      <c r="M109" s="22" t="str">
        <f>IFERROR(L109/H109,"N/A")</f>
        <v>N/A</v>
      </c>
      <c r="N109" s="288">
        <v>0</v>
      </c>
    </row>
    <row r="110" spans="1:14" ht="13.5" thickBot="1" x14ac:dyDescent="0.25">
      <c r="A110" s="222"/>
      <c r="B110" s="219"/>
      <c r="C110" s="268" t="s">
        <v>131</v>
      </c>
      <c r="D110" s="269"/>
      <c r="E110" s="269"/>
      <c r="F110" s="289"/>
      <c r="G110" s="91">
        <f>SUM(G108:G109)</f>
        <v>33650.549999999996</v>
      </c>
      <c r="H110" s="91">
        <f>SUM(H108:H109)</f>
        <v>20738.25</v>
      </c>
      <c r="I110" s="91">
        <f>SUM(I108:I109)</f>
        <v>12912.299999999996</v>
      </c>
      <c r="J110" s="91">
        <f t="shared" ref="J110:L110" si="52">SUM(J108:J109)</f>
        <v>10368</v>
      </c>
      <c r="K110" s="91">
        <f t="shared" si="52"/>
        <v>10370</v>
      </c>
      <c r="L110" s="91">
        <f t="shared" si="52"/>
        <v>20738</v>
      </c>
      <c r="M110" s="80">
        <f>IFERROR(L110/H110,"N/A")</f>
        <v>0.99998794498089283</v>
      </c>
      <c r="N110" s="92">
        <f>SUM(N108:N109)</f>
        <v>69261</v>
      </c>
    </row>
    <row r="111" spans="1:14" ht="13.5" thickBot="1" x14ac:dyDescent="0.25"/>
    <row r="112" spans="1:14" ht="15.75" thickBot="1" x14ac:dyDescent="0.3">
      <c r="A112" s="290"/>
      <c r="B112" s="291"/>
      <c r="C112" s="292" t="s">
        <v>132</v>
      </c>
      <c r="D112" s="291"/>
      <c r="E112" s="291"/>
      <c r="F112" s="293"/>
      <c r="G112" s="93">
        <f t="shared" ref="G112:L112" si="53">SUM(G110,G101,G93,G85,G63,G53,G41)</f>
        <v>336053.76333333331</v>
      </c>
      <c r="H112" s="93">
        <f t="shared" si="53"/>
        <v>223404.728</v>
      </c>
      <c r="I112" s="93">
        <f t="shared" si="53"/>
        <v>112649.03533333333</v>
      </c>
      <c r="J112" s="93">
        <f t="shared" si="53"/>
        <v>117611</v>
      </c>
      <c r="K112" s="93">
        <f t="shared" si="53"/>
        <v>105794.28</v>
      </c>
      <c r="L112" s="93">
        <f t="shared" si="53"/>
        <v>223405.28000000003</v>
      </c>
      <c r="M112" s="2">
        <f>IFERROR(L112/H112,"N/A")</f>
        <v>1.0000024708519151</v>
      </c>
      <c r="N112" s="94">
        <f>SUM(N110,N101,N93,N85,N63,N53,N41)</f>
        <v>329901.14</v>
      </c>
    </row>
    <row r="113" spans="1:14" ht="15" customHeight="1" thickBot="1" x14ac:dyDescent="0.25"/>
    <row r="114" spans="1:14" ht="15" x14ac:dyDescent="0.25">
      <c r="A114" s="294" t="s">
        <v>24</v>
      </c>
      <c r="B114" s="253"/>
      <c r="C114" s="253"/>
      <c r="D114" s="253"/>
      <c r="E114" s="253"/>
      <c r="F114" s="253"/>
      <c r="G114" s="253"/>
      <c r="H114" s="253"/>
      <c r="I114" s="253"/>
      <c r="J114" s="253"/>
      <c r="K114" s="253"/>
      <c r="L114" s="253"/>
      <c r="M114" s="253"/>
      <c r="N114" s="295"/>
    </row>
    <row r="115" spans="1:14" ht="14.25" x14ac:dyDescent="0.2">
      <c r="A115" s="296" t="s">
        <v>133</v>
      </c>
      <c r="B115" s="297"/>
      <c r="C115" s="297"/>
      <c r="D115" s="297"/>
      <c r="E115" s="297"/>
      <c r="F115" s="297"/>
      <c r="G115" s="297"/>
      <c r="H115" s="297"/>
      <c r="I115" s="297"/>
      <c r="J115" s="297"/>
      <c r="K115" s="297"/>
      <c r="L115" s="297"/>
      <c r="M115" s="297"/>
      <c r="N115" s="298"/>
    </row>
    <row r="116" spans="1:14" ht="15" x14ac:dyDescent="0.25">
      <c r="A116" s="296" t="s">
        <v>134</v>
      </c>
      <c r="B116" s="297"/>
      <c r="C116" s="297"/>
      <c r="D116" s="297"/>
      <c r="E116" s="297"/>
      <c r="F116" s="297"/>
      <c r="G116" s="297"/>
      <c r="H116" s="297"/>
      <c r="I116" s="297"/>
      <c r="J116" s="297"/>
      <c r="K116" s="297"/>
      <c r="L116" s="297"/>
      <c r="M116" s="297"/>
      <c r="N116" s="298"/>
    </row>
    <row r="117" spans="1:14" ht="15" x14ac:dyDescent="0.25">
      <c r="A117" s="296" t="s">
        <v>135</v>
      </c>
      <c r="B117" s="297"/>
      <c r="C117" s="297"/>
      <c r="D117" s="297"/>
      <c r="E117" s="297"/>
      <c r="F117" s="297"/>
      <c r="G117" s="297"/>
      <c r="H117" s="297"/>
      <c r="I117" s="297"/>
      <c r="J117" s="297"/>
      <c r="K117" s="297"/>
      <c r="L117" s="297"/>
      <c r="M117" s="297"/>
      <c r="N117" s="298"/>
    </row>
    <row r="118" spans="1:14" ht="45" customHeight="1" x14ac:dyDescent="0.2">
      <c r="A118" s="299" t="s">
        <v>136</v>
      </c>
      <c r="B118" s="300"/>
      <c r="C118" s="300" t="s">
        <v>88</v>
      </c>
      <c r="I118" s="301" t="s">
        <v>137</v>
      </c>
      <c r="J118" s="301" t="s">
        <v>138</v>
      </c>
      <c r="K118" s="301" t="s">
        <v>139</v>
      </c>
      <c r="L118" s="301" t="s">
        <v>140</v>
      </c>
      <c r="M118" s="74" t="s">
        <v>141</v>
      </c>
      <c r="N118" s="302" t="s">
        <v>142</v>
      </c>
    </row>
    <row r="119" spans="1:14" ht="15" customHeight="1" x14ac:dyDescent="0.2">
      <c r="A119" s="303" t="s">
        <v>143</v>
      </c>
      <c r="B119" s="100"/>
      <c r="C119" s="100"/>
      <c r="I119" s="101"/>
      <c r="J119" s="101"/>
      <c r="K119" s="101"/>
      <c r="L119" s="101"/>
      <c r="M119" s="11"/>
      <c r="N119" s="70"/>
    </row>
    <row r="120" spans="1:14" ht="15" customHeight="1" x14ac:dyDescent="0.2">
      <c r="A120" s="304"/>
      <c r="B120" s="151"/>
      <c r="C120" s="151"/>
      <c r="I120" s="141">
        <v>0</v>
      </c>
      <c r="J120" s="155">
        <v>0</v>
      </c>
      <c r="K120" s="155">
        <v>34175</v>
      </c>
      <c r="L120" s="95">
        <f t="shared" ref="L120:L121" si="54">SUM(J120:K120)</f>
        <v>34175</v>
      </c>
      <c r="M120" s="11"/>
      <c r="N120" s="70"/>
    </row>
    <row r="121" spans="1:14" ht="15" customHeight="1" x14ac:dyDescent="0.2">
      <c r="A121" s="304"/>
      <c r="B121" s="151"/>
      <c r="C121" s="151"/>
      <c r="I121" s="141">
        <v>0</v>
      </c>
      <c r="J121" s="155">
        <v>0</v>
      </c>
      <c r="K121" s="155">
        <v>0</v>
      </c>
      <c r="L121" s="95">
        <f t="shared" si="54"/>
        <v>0</v>
      </c>
      <c r="M121" s="11"/>
      <c r="N121" s="70"/>
    </row>
    <row r="122" spans="1:14" x14ac:dyDescent="0.2">
      <c r="A122" s="305" t="s">
        <v>144</v>
      </c>
      <c r="B122" s="100"/>
      <c r="I122" s="101"/>
      <c r="J122" s="101"/>
      <c r="K122" s="101"/>
      <c r="L122" s="101"/>
      <c r="M122" s="11"/>
      <c r="N122" s="70"/>
    </row>
    <row r="123" spans="1:14" ht="15" customHeight="1" x14ac:dyDescent="0.2">
      <c r="A123" s="304"/>
      <c r="B123" s="151"/>
      <c r="I123" s="141">
        <v>0</v>
      </c>
      <c r="J123" s="155">
        <v>0</v>
      </c>
      <c r="K123" s="155">
        <v>10000</v>
      </c>
      <c r="L123" s="95">
        <f t="shared" ref="L123:L133" si="55">SUM(J123:K123)</f>
        <v>10000</v>
      </c>
      <c r="M123" s="11"/>
      <c r="N123" s="70"/>
    </row>
    <row r="124" spans="1:14" ht="15" customHeight="1" x14ac:dyDescent="0.2">
      <c r="A124" s="304"/>
      <c r="B124" s="151"/>
      <c r="I124" s="141">
        <v>0</v>
      </c>
      <c r="J124" s="155">
        <v>0</v>
      </c>
      <c r="K124" s="155">
        <v>0</v>
      </c>
      <c r="L124" s="95">
        <f t="shared" si="55"/>
        <v>0</v>
      </c>
      <c r="M124" s="11"/>
      <c r="N124" s="70"/>
    </row>
    <row r="125" spans="1:14" x14ac:dyDescent="0.2">
      <c r="A125" s="305" t="s">
        <v>145</v>
      </c>
      <c r="B125" s="100"/>
      <c r="I125" s="101"/>
      <c r="J125" s="101"/>
      <c r="K125" s="101"/>
      <c r="L125" s="101"/>
      <c r="M125" s="11"/>
      <c r="N125" s="70"/>
    </row>
    <row r="126" spans="1:14" ht="15" customHeight="1" x14ac:dyDescent="0.2">
      <c r="A126" s="304"/>
      <c r="B126" s="151"/>
      <c r="I126" s="141">
        <v>0</v>
      </c>
      <c r="J126" s="155">
        <v>0</v>
      </c>
      <c r="K126" s="155">
        <v>0</v>
      </c>
      <c r="L126" s="95">
        <f t="shared" ref="L126:L127" si="56">SUM(J126:K126)</f>
        <v>0</v>
      </c>
      <c r="M126" s="11"/>
      <c r="N126" s="70"/>
    </row>
    <row r="127" spans="1:14" ht="15" customHeight="1" x14ac:dyDescent="0.2">
      <c r="A127" s="304"/>
      <c r="B127" s="151"/>
      <c r="I127" s="141">
        <v>0</v>
      </c>
      <c r="J127" s="155">
        <v>0</v>
      </c>
      <c r="K127" s="155">
        <v>0</v>
      </c>
      <c r="L127" s="95">
        <f t="shared" si="56"/>
        <v>0</v>
      </c>
      <c r="M127" s="11"/>
      <c r="N127" s="70"/>
    </row>
    <row r="128" spans="1:14" x14ac:dyDescent="0.2">
      <c r="A128" s="305" t="s">
        <v>146</v>
      </c>
      <c r="B128" s="100"/>
      <c r="I128" s="101"/>
      <c r="J128" s="101"/>
      <c r="K128" s="101"/>
      <c r="L128" s="101"/>
      <c r="M128" s="31"/>
      <c r="N128" s="71"/>
    </row>
    <row r="129" spans="1:14" ht="15" customHeight="1" x14ac:dyDescent="0.2">
      <c r="A129" s="304"/>
      <c r="B129" s="151"/>
      <c r="I129" s="141">
        <v>0</v>
      </c>
      <c r="J129" s="155">
        <v>0</v>
      </c>
      <c r="K129" s="155">
        <v>0</v>
      </c>
      <c r="L129" s="95">
        <f t="shared" ref="L129:L130" si="57">SUM(J129:K129)</f>
        <v>0</v>
      </c>
      <c r="M129" s="11"/>
      <c r="N129" s="70"/>
    </row>
    <row r="130" spans="1:14" ht="15" customHeight="1" x14ac:dyDescent="0.2">
      <c r="A130" s="304"/>
      <c r="B130" s="151"/>
      <c r="I130" s="141">
        <v>0</v>
      </c>
      <c r="J130" s="155">
        <v>0</v>
      </c>
      <c r="K130" s="155">
        <v>0</v>
      </c>
      <c r="L130" s="95">
        <f t="shared" si="57"/>
        <v>0</v>
      </c>
      <c r="M130" s="11"/>
      <c r="N130" s="70"/>
    </row>
    <row r="131" spans="1:14" x14ac:dyDescent="0.2">
      <c r="A131" s="305" t="s">
        <v>147</v>
      </c>
      <c r="B131" s="100"/>
      <c r="I131" s="101"/>
      <c r="J131" s="101"/>
      <c r="K131" s="101"/>
      <c r="L131" s="101"/>
      <c r="M131" s="31"/>
      <c r="N131" s="71"/>
    </row>
    <row r="132" spans="1:14" ht="15" customHeight="1" x14ac:dyDescent="0.2">
      <c r="A132" s="304" t="s">
        <v>148</v>
      </c>
      <c r="B132" s="151"/>
      <c r="I132" s="141">
        <v>112149</v>
      </c>
      <c r="J132" s="155">
        <f>1543+10854+4949.37+21911.01</f>
        <v>39257.379999999997</v>
      </c>
      <c r="K132" s="155">
        <f>48149+18074-39257-3903</f>
        <v>23063</v>
      </c>
      <c r="L132" s="95">
        <f t="shared" si="55"/>
        <v>62320.38</v>
      </c>
      <c r="M132" s="11"/>
      <c r="N132" s="70"/>
    </row>
    <row r="133" spans="1:14" ht="15" customHeight="1" x14ac:dyDescent="0.2">
      <c r="A133" s="304"/>
      <c r="B133" s="151"/>
      <c r="I133" s="141">
        <v>0</v>
      </c>
      <c r="J133" s="155">
        <v>0</v>
      </c>
      <c r="K133" s="155">
        <v>0</v>
      </c>
      <c r="L133" s="95">
        <f t="shared" si="55"/>
        <v>0</v>
      </c>
      <c r="M133" s="11"/>
      <c r="N133" s="70"/>
    </row>
    <row r="134" spans="1:14" x14ac:dyDescent="0.2">
      <c r="A134" s="303" t="s">
        <v>149</v>
      </c>
      <c r="B134" s="100"/>
      <c r="I134" s="101"/>
      <c r="J134" s="101"/>
      <c r="K134" s="101"/>
      <c r="L134" s="101"/>
      <c r="M134" s="31"/>
      <c r="N134" s="71"/>
    </row>
    <row r="135" spans="1:14" ht="15" customHeight="1" x14ac:dyDescent="0.2">
      <c r="A135" s="304"/>
      <c r="B135" s="151"/>
      <c r="I135" s="141">
        <v>0</v>
      </c>
      <c r="J135" s="155">
        <v>0</v>
      </c>
      <c r="K135" s="155">
        <v>0</v>
      </c>
      <c r="L135" s="95">
        <f t="shared" ref="L135:L136" si="58">SUM(J135:K135)</f>
        <v>0</v>
      </c>
      <c r="M135" s="11"/>
      <c r="N135" s="70"/>
    </row>
    <row r="136" spans="1:14" ht="15" customHeight="1" x14ac:dyDescent="0.2">
      <c r="A136" s="304"/>
      <c r="B136" s="151"/>
      <c r="I136" s="141">
        <v>0</v>
      </c>
      <c r="J136" s="155">
        <v>0</v>
      </c>
      <c r="K136" s="155">
        <v>0</v>
      </c>
      <c r="L136" s="95">
        <f t="shared" si="58"/>
        <v>0</v>
      </c>
      <c r="M136" s="11"/>
      <c r="N136" s="70"/>
    </row>
    <row r="137" spans="1:14" ht="15.75" thickBot="1" x14ac:dyDescent="0.3">
      <c r="A137" s="306" t="s">
        <v>150</v>
      </c>
      <c r="B137" s="219"/>
      <c r="C137" s="219"/>
      <c r="D137" s="307" t="s">
        <v>151</v>
      </c>
      <c r="E137" s="308"/>
      <c r="F137" s="308"/>
      <c r="G137" s="308"/>
      <c r="H137" s="308"/>
      <c r="I137" s="96">
        <f>SUM(I119:I136)</f>
        <v>112149</v>
      </c>
      <c r="J137" s="96">
        <f t="shared" ref="J137:L137" si="59">SUM(J119:J136)</f>
        <v>39257.379999999997</v>
      </c>
      <c r="K137" s="96">
        <f t="shared" si="59"/>
        <v>67238</v>
      </c>
      <c r="L137" s="96">
        <f t="shared" si="59"/>
        <v>106495.38</v>
      </c>
      <c r="M137" s="97">
        <f>N13-L13</f>
        <v>106495.85999999999</v>
      </c>
      <c r="N137" s="98">
        <f>IFERROR(L137-M137,"N/A")</f>
        <v>-0.47999999998137355</v>
      </c>
    </row>
    <row r="138" spans="1:14" ht="13.5" thickBot="1" x14ac:dyDescent="0.25">
      <c r="A138" s="197"/>
      <c r="F138" s="309"/>
    </row>
    <row r="139" spans="1:14" x14ac:dyDescent="0.2">
      <c r="A139" s="310" t="s">
        <v>152</v>
      </c>
      <c r="B139" s="221"/>
      <c r="C139" s="221"/>
      <c r="D139" s="221"/>
      <c r="E139" s="221"/>
      <c r="F139" s="311"/>
      <c r="G139" s="311"/>
      <c r="H139" s="311"/>
      <c r="I139" s="311"/>
      <c r="J139" s="311"/>
      <c r="K139" s="311"/>
      <c r="L139" s="311"/>
      <c r="M139" s="14"/>
      <c r="N139" s="13"/>
    </row>
    <row r="140" spans="1:14" ht="13.5" thickBot="1" x14ac:dyDescent="0.25">
      <c r="A140" s="217" t="s">
        <v>153</v>
      </c>
      <c r="B140" s="218"/>
      <c r="C140" s="218"/>
      <c r="D140" s="218"/>
      <c r="E140" s="218"/>
      <c r="F140" s="312"/>
      <c r="G140" s="312"/>
      <c r="H140" s="312"/>
      <c r="I140" s="312"/>
      <c r="J140" s="312"/>
      <c r="K140" s="312"/>
      <c r="L140" s="312"/>
      <c r="M140" s="10"/>
      <c r="N140" s="9"/>
    </row>
  </sheetData>
  <sheetProtection algorithmName="SHA-512" hashValue="nsTcIuCwLMY115npfajpf7p2c4AhFIgMDnYCwwWcHkT2JpMTGqTYwc793EjGG97OtDAx6r6Rn9mOgrK/zMdS/w==" saltValue="qHtysO5P2L0ns5QSHF6X+A==" spinCount="100000" sheet="1" objects="1" scenarios="1"/>
  <sortState xmlns:xlrd2="http://schemas.microsoft.com/office/spreadsheetml/2017/richdata2" ref="A27:R37">
    <sortCondition descending="1" ref="C27:C37"/>
  </sortState>
  <conditionalFormatting sqref="B119:B136">
    <cfRule type="containsText" dxfId="7" priority="16" operator="containsText" text="VARIANCE">
      <formula>NOT(ISERROR(SEARCH("VARIANCE",B119)))</formula>
    </cfRule>
  </conditionalFormatting>
  <conditionalFormatting sqref="C119:C121">
    <cfRule type="containsText" dxfId="6" priority="1" operator="containsText" text="VARIANCE">
      <formula>NOT(ISERROR(SEARCH("VARIANCE",C119)))</formula>
    </cfRule>
  </conditionalFormatting>
  <conditionalFormatting sqref="I119:L119">
    <cfRule type="containsText" dxfId="5" priority="15" operator="containsText" text="VARIANCE">
      <formula>NOT(ISERROR(SEARCH("VARIANCE",I119)))</formula>
    </cfRule>
  </conditionalFormatting>
  <conditionalFormatting sqref="I122:L122">
    <cfRule type="containsText" dxfId="4" priority="14" operator="containsText" text="VARIANCE">
      <formula>NOT(ISERROR(SEARCH("VARIANCE",I122)))</formula>
    </cfRule>
  </conditionalFormatting>
  <conditionalFormatting sqref="I125:L125">
    <cfRule type="containsText" dxfId="3" priority="13" operator="containsText" text="VARIANCE">
      <formula>NOT(ISERROR(SEARCH("VARIANCE",I125)))</formula>
    </cfRule>
  </conditionalFormatting>
  <conditionalFormatting sqref="I128:L128">
    <cfRule type="containsText" dxfId="2" priority="12" operator="containsText" text="VARIANCE">
      <formula>NOT(ISERROR(SEARCH("VARIANCE",I128)))</formula>
    </cfRule>
  </conditionalFormatting>
  <conditionalFormatting sqref="I131:L131">
    <cfRule type="containsText" dxfId="1" priority="11" operator="containsText" text="VARIANCE">
      <formula>NOT(ISERROR(SEARCH("VARIANCE",I131)))</formula>
    </cfRule>
  </conditionalFormatting>
  <conditionalFormatting sqref="I134:L134">
    <cfRule type="containsText" dxfId="0" priority="10" operator="containsText" text="VARIANCE">
      <formula>NOT(ISERROR(SEARCH("VARIANCE",I134)))</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08:F109" xr:uid="{00000000-0002-0000-01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1000000}">
      <formula1>0.9</formula1>
      <formula2>1.1</formula2>
    </dataValidation>
    <dataValidation type="list" allowBlank="1" showInputMessage="1" showErrorMessage="1" sqref="B10" xr:uid="{00000000-0002-0000-0100-000002000000}">
      <formula1>$A$19:$A$21</formula1>
    </dataValidation>
    <dataValidation type="decimal" errorStyle="warning" allowBlank="1" showInputMessage="1" showErrorMessage="1" errorTitle="VARIANCE REPORT REQUIRED" error="Percentages below 90% or above 110% require an explanation in the VARIANCE REPORT/NOTES column." sqref="M27:M40" xr:uid="{00000000-0002-0000-0100-000003000000}">
      <formula1>0.9</formula1>
      <formula2>1.1</formula2>
    </dataValidation>
    <dataValidation type="list" allowBlank="1" showInputMessage="1" showErrorMessage="1" sqref="C27:C40" xr:uid="{00000000-0002-0000-0100-000004000000}">
      <formula1>$C$19:$C$21</formula1>
    </dataValidation>
    <dataValidation type="list" allowBlank="1" showInputMessage="1" showErrorMessage="1" sqref="C120:C121" xr:uid="{00000000-0002-0000-0100-000005000000}">
      <formula1>$F$19:$F$21</formula1>
    </dataValidation>
  </dataValidations>
  <pageMargins left="0.7" right="0.7" top="0.75" bottom="0.75" header="0.3" footer="0.3"/>
  <pageSetup scale="49" fitToHeight="4" orientation="landscape" r:id="rId1"/>
  <rowBreaks count="1" manualBreakCount="1">
    <brk id="85" max="13" man="1"/>
  </rowBreaks>
  <ignoredErrors>
    <ignoredError sqref="M6 M10:M11 M7:M9 M12:M13" formula="1"/>
    <ignoredError sqref="L120:L13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I50"/>
  <sheetViews>
    <sheetView zoomScale="90" zoomScaleNormal="90" workbookViewId="0">
      <selection activeCell="I1" sqref="I1"/>
    </sheetView>
  </sheetViews>
  <sheetFormatPr defaultColWidth="8.85546875" defaultRowHeight="12.75" x14ac:dyDescent="0.2"/>
  <cols>
    <col min="1" max="1" width="53.7109375" style="191" customWidth="1"/>
    <col min="2" max="5" width="17.28515625" style="192" customWidth="1"/>
    <col min="6" max="8" width="17.28515625" style="168" customWidth="1"/>
    <col min="9" max="9" width="17.140625" style="169" customWidth="1"/>
    <col min="10" max="16384" width="8.85546875" style="169"/>
  </cols>
  <sheetData>
    <row r="1" spans="1:8" ht="18" x14ac:dyDescent="0.2">
      <c r="A1" s="164" t="s">
        <v>36</v>
      </c>
      <c r="B1" s="165"/>
      <c r="C1" s="166"/>
      <c r="D1" s="166"/>
      <c r="E1" s="166"/>
      <c r="F1" s="167"/>
    </row>
    <row r="2" spans="1:8" ht="18" x14ac:dyDescent="0.2">
      <c r="A2" s="164" t="s">
        <v>154</v>
      </c>
      <c r="B2" s="170"/>
      <c r="C2" s="170"/>
      <c r="D2" s="171"/>
      <c r="E2" s="171"/>
      <c r="F2" s="170"/>
      <c r="G2" s="170"/>
      <c r="H2" s="170"/>
    </row>
    <row r="3" spans="1:8" ht="9.75" customHeight="1" x14ac:dyDescent="0.2">
      <c r="A3" s="164"/>
      <c r="B3" s="170"/>
      <c r="C3" s="170"/>
      <c r="D3" s="171"/>
      <c r="E3" s="171"/>
      <c r="F3" s="170"/>
      <c r="G3" s="170"/>
      <c r="H3" s="170"/>
    </row>
    <row r="4" spans="1:8" x14ac:dyDescent="0.2">
      <c r="A4" s="172"/>
      <c r="B4" s="165"/>
      <c r="C4" s="166"/>
      <c r="D4" s="166"/>
      <c r="E4" s="166"/>
      <c r="F4" s="167"/>
    </row>
    <row r="5" spans="1:8" s="176" customFormat="1" ht="45" x14ac:dyDescent="0.2">
      <c r="A5" s="173" t="s">
        <v>155</v>
      </c>
      <c r="B5" s="174" t="s">
        <v>156</v>
      </c>
      <c r="C5" s="174" t="s">
        <v>157</v>
      </c>
      <c r="D5" s="174" t="s">
        <v>158</v>
      </c>
      <c r="E5" s="175"/>
      <c r="G5" s="175"/>
      <c r="H5" s="175"/>
    </row>
    <row r="6" spans="1:8" s="176" customFormat="1" ht="14.25" x14ac:dyDescent="0.2">
      <c r="A6" s="177" t="s">
        <v>159</v>
      </c>
      <c r="B6" s="178">
        <v>800</v>
      </c>
      <c r="C6" s="179">
        <v>871</v>
      </c>
      <c r="D6" s="179">
        <v>1458</v>
      </c>
      <c r="E6" s="175"/>
      <c r="G6" s="175"/>
      <c r="H6" s="175"/>
    </row>
    <row r="7" spans="1:8" s="176" customFormat="1" ht="14.25" x14ac:dyDescent="0.2">
      <c r="A7" s="177" t="s">
        <v>160</v>
      </c>
      <c r="B7" s="178">
        <v>550</v>
      </c>
      <c r="C7" s="179">
        <v>655</v>
      </c>
      <c r="D7" s="179">
        <v>798</v>
      </c>
      <c r="E7" s="175"/>
      <c r="G7" s="175"/>
      <c r="H7" s="175"/>
    </row>
    <row r="8" spans="1:8" s="176" customFormat="1" ht="14.25" x14ac:dyDescent="0.2">
      <c r="A8" s="177" t="s">
        <v>161</v>
      </c>
      <c r="B8" s="178">
        <v>200</v>
      </c>
      <c r="C8" s="179">
        <v>182</v>
      </c>
      <c r="D8" s="179">
        <v>210</v>
      </c>
      <c r="E8" s="175"/>
      <c r="G8" s="175"/>
      <c r="H8" s="175"/>
    </row>
    <row r="9" spans="1:8" s="176" customFormat="1" ht="14.25" x14ac:dyDescent="0.2">
      <c r="A9" s="177" t="s">
        <v>162</v>
      </c>
      <c r="B9" s="178">
        <v>0</v>
      </c>
      <c r="C9" s="179">
        <v>0</v>
      </c>
      <c r="D9" s="179">
        <v>0</v>
      </c>
      <c r="E9" s="175"/>
      <c r="G9" s="175"/>
      <c r="H9" s="175"/>
    </row>
    <row r="10" spans="1:8" s="176" customFormat="1" ht="14.25" x14ac:dyDescent="0.2">
      <c r="A10" s="177" t="s">
        <v>163</v>
      </c>
      <c r="B10" s="178">
        <v>60</v>
      </c>
      <c r="C10" s="179">
        <v>91</v>
      </c>
      <c r="D10" s="179">
        <v>98</v>
      </c>
      <c r="E10" s="175"/>
      <c r="G10" s="175"/>
      <c r="H10" s="175"/>
    </row>
    <row r="11" spans="1:8" s="176" customFormat="1" ht="14.25" x14ac:dyDescent="0.2">
      <c r="A11" s="177" t="s">
        <v>164</v>
      </c>
      <c r="B11" s="178">
        <v>30</v>
      </c>
      <c r="C11" s="179">
        <v>32</v>
      </c>
      <c r="D11" s="179">
        <v>41</v>
      </c>
      <c r="E11" s="175"/>
      <c r="G11" s="175"/>
      <c r="H11" s="175"/>
    </row>
    <row r="12" spans="1:8" s="176" customFormat="1" ht="14.25" x14ac:dyDescent="0.2">
      <c r="A12" s="177" t="s">
        <v>165</v>
      </c>
      <c r="B12" s="178">
        <v>100</v>
      </c>
      <c r="C12" s="179">
        <v>129</v>
      </c>
      <c r="D12" s="179">
        <v>167</v>
      </c>
      <c r="E12" s="175"/>
      <c r="G12" s="175"/>
      <c r="H12" s="175"/>
    </row>
    <row r="13" spans="1:8" s="176" customFormat="1" ht="14.25" x14ac:dyDescent="0.2">
      <c r="A13" s="177" t="s">
        <v>166</v>
      </c>
      <c r="B13" s="178">
        <v>100</v>
      </c>
      <c r="C13" s="179">
        <v>37</v>
      </c>
      <c r="D13" s="179">
        <v>98</v>
      </c>
      <c r="E13" s="175"/>
      <c r="G13" s="175"/>
      <c r="H13" s="175"/>
    </row>
    <row r="14" spans="1:8" s="176" customFormat="1" ht="14.25" x14ac:dyDescent="0.2">
      <c r="A14" s="180"/>
      <c r="B14" s="181"/>
      <c r="C14" s="181"/>
      <c r="D14" s="181"/>
      <c r="E14" s="175"/>
      <c r="G14" s="175"/>
      <c r="H14" s="175"/>
    </row>
    <row r="15" spans="1:8" s="176" customFormat="1" ht="30" x14ac:dyDescent="0.2">
      <c r="A15" s="173" t="s">
        <v>167</v>
      </c>
      <c r="B15" s="174" t="s">
        <v>156</v>
      </c>
      <c r="C15" s="174" t="s">
        <v>157</v>
      </c>
      <c r="D15" s="174" t="s">
        <v>158</v>
      </c>
      <c r="E15" s="175"/>
      <c r="G15" s="175"/>
      <c r="H15" s="175"/>
    </row>
    <row r="16" spans="1:8" s="176" customFormat="1" ht="14.25" x14ac:dyDescent="0.2">
      <c r="A16" s="177" t="s">
        <v>168</v>
      </c>
      <c r="B16" s="178">
        <v>40</v>
      </c>
      <c r="C16" s="179">
        <v>40</v>
      </c>
      <c r="D16" s="179">
        <v>44</v>
      </c>
      <c r="E16" s="175"/>
      <c r="G16" s="175"/>
      <c r="H16" s="175"/>
    </row>
    <row r="17" spans="1:8" s="176" customFormat="1" ht="14.25" x14ac:dyDescent="0.2">
      <c r="A17" s="177" t="s">
        <v>169</v>
      </c>
      <c r="B17" s="178">
        <v>25</v>
      </c>
      <c r="C17" s="179">
        <v>39</v>
      </c>
      <c r="D17" s="179">
        <v>46</v>
      </c>
      <c r="E17" s="175"/>
      <c r="G17" s="175"/>
      <c r="H17" s="175"/>
    </row>
    <row r="18" spans="1:8" s="176" customFormat="1" ht="14.25" x14ac:dyDescent="0.2">
      <c r="A18" s="177" t="s">
        <v>170</v>
      </c>
      <c r="B18" s="178">
        <v>40</v>
      </c>
      <c r="C18" s="179">
        <v>43</v>
      </c>
      <c r="D18" s="179">
        <v>53</v>
      </c>
      <c r="E18" s="175"/>
      <c r="G18" s="175"/>
      <c r="H18" s="175"/>
    </row>
    <row r="19" spans="1:8" s="176" customFormat="1" ht="14.25" x14ac:dyDescent="0.2">
      <c r="A19" s="177" t="s">
        <v>171</v>
      </c>
      <c r="B19" s="178">
        <v>360</v>
      </c>
      <c r="C19" s="179">
        <v>395</v>
      </c>
      <c r="D19" s="179">
        <v>473</v>
      </c>
      <c r="E19" s="175"/>
      <c r="G19" s="175"/>
      <c r="H19" s="175"/>
    </row>
    <row r="20" spans="1:8" s="176" customFormat="1" ht="14.25" x14ac:dyDescent="0.2">
      <c r="A20" s="177" t="s">
        <v>172</v>
      </c>
      <c r="B20" s="178">
        <v>30</v>
      </c>
      <c r="C20" s="179">
        <v>1</v>
      </c>
      <c r="D20" s="179">
        <v>4</v>
      </c>
      <c r="E20" s="175"/>
      <c r="G20" s="175"/>
      <c r="H20" s="175"/>
    </row>
    <row r="21" spans="1:8" s="176" customFormat="1" ht="14.25" x14ac:dyDescent="0.2">
      <c r="A21" s="177" t="s">
        <v>173</v>
      </c>
      <c r="B21" s="178">
        <v>15</v>
      </c>
      <c r="C21" s="179">
        <v>45</v>
      </c>
      <c r="D21" s="179">
        <v>45</v>
      </c>
      <c r="E21" s="175"/>
      <c r="G21" s="175"/>
      <c r="H21" s="175"/>
    </row>
    <row r="22" spans="1:8" s="176" customFormat="1" ht="14.25" x14ac:dyDescent="0.2">
      <c r="A22" s="177" t="s">
        <v>174</v>
      </c>
      <c r="B22" s="178">
        <v>40</v>
      </c>
      <c r="C22" s="179">
        <v>92</v>
      </c>
      <c r="D22" s="179">
        <v>133</v>
      </c>
      <c r="E22" s="175"/>
      <c r="G22" s="175"/>
      <c r="H22" s="175"/>
    </row>
    <row r="23" spans="1:8" s="176" customFormat="1" ht="15" x14ac:dyDescent="0.2">
      <c r="A23" s="182" t="s">
        <v>175</v>
      </c>
      <c r="B23" s="183">
        <f>SUM(B16:B22)</f>
        <v>550</v>
      </c>
      <c r="C23" s="183">
        <f t="shared" ref="C23:D23" si="0">SUM(C16:C22)</f>
        <v>655</v>
      </c>
      <c r="D23" s="183">
        <f t="shared" si="0"/>
        <v>798</v>
      </c>
      <c r="E23" s="175"/>
      <c r="G23" s="175"/>
      <c r="H23" s="175"/>
    </row>
    <row r="24" spans="1:8" s="176" customFormat="1" ht="14.25" x14ac:dyDescent="0.2">
      <c r="B24" s="181"/>
      <c r="C24" s="181"/>
      <c r="D24" s="181"/>
      <c r="E24" s="175"/>
      <c r="G24" s="175"/>
      <c r="H24" s="175"/>
    </row>
    <row r="25" spans="1:8" s="176" customFormat="1" ht="30" x14ac:dyDescent="0.2">
      <c r="A25" s="173" t="s">
        <v>176</v>
      </c>
      <c r="B25" s="174" t="s">
        <v>156</v>
      </c>
      <c r="C25" s="174" t="s">
        <v>157</v>
      </c>
      <c r="D25" s="174" t="s">
        <v>158</v>
      </c>
      <c r="E25" s="175"/>
      <c r="G25" s="175"/>
      <c r="H25" s="175"/>
    </row>
    <row r="26" spans="1:8" s="176" customFormat="1" ht="14.25" x14ac:dyDescent="0.2">
      <c r="A26" s="177">
        <v>90401</v>
      </c>
      <c r="B26" s="178">
        <v>95</v>
      </c>
      <c r="C26" s="179">
        <v>124</v>
      </c>
      <c r="D26" s="179">
        <v>151</v>
      </c>
      <c r="E26" s="175"/>
      <c r="G26" s="175"/>
      <c r="H26" s="175"/>
    </row>
    <row r="27" spans="1:8" s="176" customFormat="1" ht="14.25" x14ac:dyDescent="0.2">
      <c r="A27" s="177">
        <v>90402</v>
      </c>
      <c r="B27" s="178">
        <v>45</v>
      </c>
      <c r="C27" s="179">
        <v>42</v>
      </c>
      <c r="D27" s="179">
        <v>46</v>
      </c>
      <c r="E27" s="175"/>
      <c r="G27" s="175"/>
      <c r="H27" s="175"/>
    </row>
    <row r="28" spans="1:8" s="176" customFormat="1" ht="14.25" x14ac:dyDescent="0.2">
      <c r="A28" s="177">
        <v>90403</v>
      </c>
      <c r="B28" s="178">
        <v>165</v>
      </c>
      <c r="C28" s="179">
        <v>180</v>
      </c>
      <c r="D28" s="179">
        <v>209</v>
      </c>
      <c r="E28" s="175"/>
      <c r="G28" s="175"/>
      <c r="H28" s="175"/>
    </row>
    <row r="29" spans="1:8" s="176" customFormat="1" ht="14.25" x14ac:dyDescent="0.2">
      <c r="A29" s="177">
        <v>90404</v>
      </c>
      <c r="B29" s="178">
        <v>100</v>
      </c>
      <c r="C29" s="179">
        <v>129</v>
      </c>
      <c r="D29" s="179">
        <v>167</v>
      </c>
      <c r="E29" s="175"/>
      <c r="G29" s="175"/>
      <c r="H29" s="175"/>
    </row>
    <row r="30" spans="1:8" s="176" customFormat="1" ht="14.25" x14ac:dyDescent="0.2">
      <c r="A30" s="177">
        <v>90405</v>
      </c>
      <c r="B30" s="178">
        <v>145</v>
      </c>
      <c r="C30" s="179">
        <v>179</v>
      </c>
      <c r="D30" s="179">
        <v>225</v>
      </c>
      <c r="E30" s="175"/>
      <c r="G30" s="175"/>
      <c r="H30" s="175"/>
    </row>
    <row r="31" spans="1:8" s="176" customFormat="1" ht="14.25" x14ac:dyDescent="0.2">
      <c r="A31" s="177" t="s">
        <v>177</v>
      </c>
      <c r="B31" s="178"/>
      <c r="C31" s="179">
        <v>1</v>
      </c>
      <c r="D31" s="179">
        <v>0</v>
      </c>
      <c r="E31" s="175"/>
      <c r="G31" s="175"/>
      <c r="H31" s="175"/>
    </row>
    <row r="32" spans="1:8" s="176" customFormat="1" ht="15" x14ac:dyDescent="0.2">
      <c r="A32" s="182" t="s">
        <v>175</v>
      </c>
      <c r="B32" s="183">
        <f>SUM(B26:B31)</f>
        <v>550</v>
      </c>
      <c r="C32" s="183">
        <f>SUM(C26:C31)</f>
        <v>655</v>
      </c>
      <c r="D32" s="183">
        <f>SUM(D26:D31)</f>
        <v>798</v>
      </c>
      <c r="E32" s="175"/>
      <c r="G32" s="175"/>
      <c r="H32" s="175"/>
    </row>
    <row r="33" spans="1:9" s="176" customFormat="1" ht="14.25" x14ac:dyDescent="0.2">
      <c r="B33" s="175"/>
      <c r="C33" s="181"/>
      <c r="D33" s="181"/>
      <c r="E33" s="175"/>
      <c r="G33" s="175"/>
      <c r="H33" s="175"/>
    </row>
    <row r="34" spans="1:9" s="176" customFormat="1" ht="30" customHeight="1" x14ac:dyDescent="0.2">
      <c r="A34" s="318" t="s">
        <v>178</v>
      </c>
      <c r="B34" s="320" t="s">
        <v>157</v>
      </c>
      <c r="C34" s="321"/>
      <c r="D34" s="321"/>
      <c r="E34" s="322"/>
      <c r="F34" s="320" t="s">
        <v>158</v>
      </c>
      <c r="G34" s="321"/>
      <c r="H34" s="321"/>
      <c r="I34" s="322"/>
    </row>
    <row r="35" spans="1:9" s="176" customFormat="1" ht="22.5" customHeight="1" x14ac:dyDescent="0.2">
      <c r="A35" s="319"/>
      <c r="B35" s="174" t="s">
        <v>179</v>
      </c>
      <c r="C35" s="174" t="s">
        <v>180</v>
      </c>
      <c r="D35" s="174" t="s">
        <v>181</v>
      </c>
      <c r="E35" s="174" t="s">
        <v>182</v>
      </c>
      <c r="F35" s="174" t="s">
        <v>179</v>
      </c>
      <c r="G35" s="174" t="s">
        <v>180</v>
      </c>
      <c r="H35" s="174" t="s">
        <v>181</v>
      </c>
      <c r="I35" s="174" t="s">
        <v>182</v>
      </c>
    </row>
    <row r="36" spans="1:9" s="176" customFormat="1" ht="14.25" x14ac:dyDescent="0.2">
      <c r="A36" s="184" t="s">
        <v>183</v>
      </c>
      <c r="B36" s="185"/>
      <c r="C36" s="186"/>
      <c r="D36" s="186"/>
      <c r="E36" s="186"/>
      <c r="F36" s="185"/>
      <c r="G36" s="186"/>
      <c r="H36" s="186"/>
      <c r="I36" s="186"/>
    </row>
    <row r="37" spans="1:9" s="176" customFormat="1" ht="14.25" x14ac:dyDescent="0.2">
      <c r="A37" s="187" t="s">
        <v>184</v>
      </c>
      <c r="B37" s="188"/>
      <c r="C37" s="186"/>
      <c r="D37" s="186"/>
      <c r="E37" s="186"/>
      <c r="F37" s="185"/>
      <c r="G37" s="186"/>
      <c r="H37" s="186"/>
      <c r="I37" s="186"/>
    </row>
    <row r="38" spans="1:9" s="176" customFormat="1" ht="14.25" x14ac:dyDescent="0.2">
      <c r="A38" s="187" t="s">
        <v>185</v>
      </c>
      <c r="B38" s="188"/>
      <c r="C38" s="186"/>
      <c r="D38" s="186"/>
      <c r="E38" s="186"/>
      <c r="F38" s="185"/>
      <c r="G38" s="186"/>
      <c r="H38" s="186"/>
      <c r="I38" s="186"/>
    </row>
    <row r="39" spans="1:9" s="176" customFormat="1" ht="14.25" x14ac:dyDescent="0.2">
      <c r="A39" s="184" t="s">
        <v>186</v>
      </c>
      <c r="B39" s="188"/>
      <c r="C39" s="186"/>
      <c r="D39" s="186"/>
      <c r="E39" s="186"/>
      <c r="F39" s="185"/>
      <c r="G39" s="186"/>
      <c r="H39" s="186"/>
      <c r="I39" s="186"/>
    </row>
    <row r="40" spans="1:9" s="176" customFormat="1" ht="14.25" x14ac:dyDescent="0.2">
      <c r="A40" s="184" t="s">
        <v>187</v>
      </c>
      <c r="B40" s="188"/>
      <c r="C40" s="186"/>
      <c r="D40" s="186"/>
      <c r="E40" s="186"/>
      <c r="F40" s="185"/>
      <c r="G40" s="186"/>
      <c r="H40" s="186"/>
      <c r="I40" s="186"/>
    </row>
    <row r="41" spans="1:9" s="176" customFormat="1" ht="14.25" x14ac:dyDescent="0.2">
      <c r="A41" s="184" t="s">
        <v>188</v>
      </c>
      <c r="B41" s="188"/>
      <c r="C41" s="186"/>
      <c r="D41" s="186"/>
      <c r="E41" s="186"/>
      <c r="F41" s="185"/>
      <c r="G41" s="186"/>
      <c r="H41" s="186"/>
      <c r="I41" s="186"/>
    </row>
    <row r="42" spans="1:9" s="176" customFormat="1" ht="14.25" x14ac:dyDescent="0.2">
      <c r="A42" s="184" t="s">
        <v>189</v>
      </c>
      <c r="B42" s="188"/>
      <c r="C42" s="186">
        <v>2</v>
      </c>
      <c r="D42" s="186"/>
      <c r="E42" s="186"/>
      <c r="F42" s="185"/>
      <c r="G42" s="186">
        <v>1</v>
      </c>
      <c r="H42" s="186"/>
      <c r="I42" s="186"/>
    </row>
    <row r="43" spans="1:9" s="176" customFormat="1" ht="14.25" x14ac:dyDescent="0.2">
      <c r="A43" s="184" t="s">
        <v>190</v>
      </c>
      <c r="B43" s="188">
        <v>5</v>
      </c>
      <c r="C43" s="186">
        <v>12</v>
      </c>
      <c r="D43" s="186"/>
      <c r="E43" s="186"/>
      <c r="F43" s="185">
        <v>7</v>
      </c>
      <c r="G43" s="186">
        <v>25</v>
      </c>
      <c r="H43" s="186"/>
      <c r="I43" s="186"/>
    </row>
    <row r="44" spans="1:9" s="176" customFormat="1" ht="14.25" x14ac:dyDescent="0.2">
      <c r="A44" s="184" t="s">
        <v>191</v>
      </c>
      <c r="B44" s="188">
        <v>58</v>
      </c>
      <c r="C44" s="186">
        <v>157</v>
      </c>
      <c r="D44" s="186"/>
      <c r="E44" s="186"/>
      <c r="F44" s="185">
        <v>68</v>
      </c>
      <c r="G44" s="186">
        <v>191</v>
      </c>
      <c r="H44" s="186"/>
      <c r="I44" s="186"/>
    </row>
    <row r="45" spans="1:9" s="176" customFormat="1" ht="14.25" x14ac:dyDescent="0.2">
      <c r="A45" s="184" t="s">
        <v>192</v>
      </c>
      <c r="B45" s="188">
        <v>70</v>
      </c>
      <c r="C45" s="186">
        <v>214</v>
      </c>
      <c r="D45" s="186"/>
      <c r="E45" s="186">
        <v>1</v>
      </c>
      <c r="F45" s="185">
        <v>85</v>
      </c>
      <c r="G45" s="186">
        <v>255</v>
      </c>
      <c r="H45" s="186"/>
      <c r="I45" s="186">
        <v>1</v>
      </c>
    </row>
    <row r="46" spans="1:9" s="176" customFormat="1" ht="14.25" x14ac:dyDescent="0.2">
      <c r="A46" s="184" t="s">
        <v>193</v>
      </c>
      <c r="B46" s="188">
        <v>30</v>
      </c>
      <c r="C46" s="186">
        <v>106</v>
      </c>
      <c r="D46" s="186"/>
      <c r="E46" s="186"/>
      <c r="F46" s="185">
        <v>36</v>
      </c>
      <c r="G46" s="186">
        <v>128</v>
      </c>
      <c r="H46" s="186"/>
      <c r="I46" s="186">
        <v>1</v>
      </c>
    </row>
    <row r="47" spans="1:9" ht="15" x14ac:dyDescent="0.2">
      <c r="A47" s="189" t="s">
        <v>175</v>
      </c>
      <c r="B47" s="190">
        <f t="shared" ref="B47:I47" si="1">SUM(B36:B46)</f>
        <v>163</v>
      </c>
      <c r="C47" s="190">
        <f t="shared" si="1"/>
        <v>491</v>
      </c>
      <c r="D47" s="190">
        <f t="shared" si="1"/>
        <v>0</v>
      </c>
      <c r="E47" s="190">
        <f t="shared" si="1"/>
        <v>1</v>
      </c>
      <c r="F47" s="190">
        <f t="shared" si="1"/>
        <v>196</v>
      </c>
      <c r="G47" s="190">
        <f t="shared" si="1"/>
        <v>600</v>
      </c>
      <c r="H47" s="190">
        <f t="shared" si="1"/>
        <v>0</v>
      </c>
      <c r="I47" s="190">
        <f t="shared" si="1"/>
        <v>2</v>
      </c>
    </row>
    <row r="48" spans="1:9" x14ac:dyDescent="0.2">
      <c r="C48" s="168"/>
    </row>
    <row r="49" spans="1:3" ht="45" x14ac:dyDescent="0.2">
      <c r="A49" s="173" t="s">
        <v>194</v>
      </c>
      <c r="B49" s="193" t="s">
        <v>156</v>
      </c>
      <c r="C49" s="194" t="s">
        <v>195</v>
      </c>
    </row>
    <row r="50" spans="1:3" ht="14.25" x14ac:dyDescent="0.2">
      <c r="A50" s="195"/>
      <c r="B50" s="102">
        <f>IFERROR(('PROGRAM BUDGET &amp; FISCAL REPORT'!G13/'PARTICIPANTS &amp; DEMOGRAPHICS'!B6),"N/A")</f>
        <v>420.06720416666661</v>
      </c>
      <c r="C50" s="102">
        <f>IFERROR(('PROGRAM BUDGET &amp; FISCAL REPORT'!N13/'PARTICIPANTS &amp; DEMOGRAPHICS'!D6),"N/A")</f>
        <v>226.26964334705076</v>
      </c>
    </row>
  </sheetData>
  <sheetProtection algorithmName="SHA-512" hashValue="GcGgy2/kWSQ2QLIIcefNsyRvAQB8YG/fTAQSWFhvI+RL2rs/TYzetWbHrAD5w3b+s2lpD8rQD4YSR4XaVIIjpw==" saltValue="86TusBiJmbE8B2gfwl4teA==" spinCount="100000" sheet="1" objects="1" scenarios="1"/>
  <mergeCells count="3">
    <mergeCell ref="A34:A35"/>
    <mergeCell ref="B34:E34"/>
    <mergeCell ref="F34:I34"/>
  </mergeCells>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0" hidden="1" customWidth="1"/>
    <col min="2" max="2" width="48.85546875" style="40"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0"/>
  </cols>
  <sheetData>
    <row r="1" spans="1:8" ht="18" x14ac:dyDescent="0.25">
      <c r="A1" s="20"/>
      <c r="B1" s="29" t="s">
        <v>36</v>
      </c>
      <c r="C1" s="40"/>
      <c r="D1" s="40"/>
      <c r="E1" s="40"/>
      <c r="F1" s="40"/>
      <c r="G1" s="40"/>
    </row>
    <row r="2" spans="1:8" ht="18" x14ac:dyDescent="0.25">
      <c r="A2" s="20"/>
      <c r="B2" s="29" t="s">
        <v>196</v>
      </c>
      <c r="C2" s="40"/>
      <c r="D2" s="40"/>
      <c r="E2" s="40"/>
      <c r="F2" s="40"/>
      <c r="G2" s="40"/>
    </row>
    <row r="3" spans="1:8" ht="22.5" customHeight="1" x14ac:dyDescent="0.25">
      <c r="A3" s="20"/>
      <c r="B3" s="157" t="str">
        <f>'PROGRAM BUDGET &amp; FISCAL REPORT'!A6</f>
        <v>AGENCY NAME:</v>
      </c>
      <c r="C3" s="103" t="str">
        <f>'PROGRAM BUDGET &amp; FISCAL REPORT'!B6</f>
        <v>WISE &amp; Healthy Aging</v>
      </c>
      <c r="D3" s="104"/>
      <c r="E3" s="104"/>
      <c r="F3" s="104"/>
      <c r="G3" s="40"/>
    </row>
    <row r="4" spans="1:8" ht="22.5" customHeight="1" x14ac:dyDescent="0.25">
      <c r="A4" s="20"/>
      <c r="B4" s="157" t="str">
        <f>'PROGRAM BUDGET &amp; FISCAL REPORT'!A7</f>
        <v>PROGRAM NAME:</v>
      </c>
      <c r="C4" s="105" t="str">
        <f>'PROGRAM BUDGET &amp; FISCAL REPORT'!B7</f>
        <v>Club WISE</v>
      </c>
      <c r="D4" s="106"/>
      <c r="E4" s="106"/>
      <c r="F4" s="106"/>
      <c r="G4" s="40"/>
    </row>
    <row r="5" spans="1:8" ht="8.25" customHeight="1" thickBot="1" x14ac:dyDescent="0.25">
      <c r="A5" s="20"/>
      <c r="B5" s="160"/>
      <c r="C5" s="40"/>
      <c r="D5" s="40"/>
      <c r="E5" s="40"/>
      <c r="F5" s="40"/>
      <c r="G5" s="40"/>
    </row>
    <row r="6" spans="1:8" ht="52.5" customHeight="1" x14ac:dyDescent="0.55000000000000004">
      <c r="B6" s="42" t="s">
        <v>197</v>
      </c>
      <c r="C6" s="43" t="s">
        <v>198</v>
      </c>
      <c r="D6" s="43"/>
      <c r="E6" s="43" t="s">
        <v>199</v>
      </c>
      <c r="F6" s="44"/>
      <c r="G6" s="40"/>
    </row>
    <row r="7" spans="1:8" ht="14.25" x14ac:dyDescent="0.2">
      <c r="B7" s="45" t="s">
        <v>200</v>
      </c>
      <c r="C7" s="46">
        <f>'PARTICIPANTS &amp; DEMOGRAPHICS'!B6</f>
        <v>800</v>
      </c>
      <c r="D7" s="47"/>
      <c r="E7" s="47">
        <f>'PARTICIPANTS &amp; DEMOGRAPHICS'!D6</f>
        <v>1458</v>
      </c>
      <c r="F7" s="48"/>
      <c r="G7" s="40"/>
    </row>
    <row r="8" spans="1:8" ht="14.25" x14ac:dyDescent="0.2">
      <c r="B8" s="49" t="s">
        <v>201</v>
      </c>
      <c r="C8" s="46">
        <f>'PARTICIPANTS &amp; DEMOGRAPHICS'!B7</f>
        <v>550</v>
      </c>
      <c r="D8" s="47"/>
      <c r="E8" s="47">
        <f>'PARTICIPANTS &amp; DEMOGRAPHICS'!D7</f>
        <v>798</v>
      </c>
      <c r="F8" s="48"/>
      <c r="G8" s="40"/>
    </row>
    <row r="9" spans="1:8" ht="14.25" x14ac:dyDescent="0.2">
      <c r="B9" s="45" t="s">
        <v>202</v>
      </c>
      <c r="C9" s="68">
        <f>IFERROR(C8/C7, "N/A")</f>
        <v>0.6875</v>
      </c>
      <c r="D9" s="51"/>
      <c r="E9" s="112">
        <f>IFERROR(E8/E7, "N/A")</f>
        <v>0.54732510288065839</v>
      </c>
      <c r="F9" s="48"/>
      <c r="G9" s="40"/>
    </row>
    <row r="10" spans="1:8" ht="14.25" x14ac:dyDescent="0.2">
      <c r="B10" s="45"/>
      <c r="C10" s="50"/>
      <c r="D10" s="51"/>
      <c r="E10" s="46"/>
      <c r="F10" s="48"/>
      <c r="G10" s="40"/>
    </row>
    <row r="11" spans="1:8" ht="63.75" customHeight="1" x14ac:dyDescent="0.55000000000000004">
      <c r="B11" s="52" t="s">
        <v>203</v>
      </c>
      <c r="C11" s="158" t="s">
        <v>204</v>
      </c>
      <c r="D11" s="158" t="s">
        <v>205</v>
      </c>
      <c r="E11" s="158" t="s">
        <v>206</v>
      </c>
      <c r="F11" s="159" t="s">
        <v>207</v>
      </c>
      <c r="G11" s="40"/>
    </row>
    <row r="12" spans="1:8" ht="16.5" customHeight="1" x14ac:dyDescent="0.2">
      <c r="B12" s="45" t="s">
        <v>208</v>
      </c>
      <c r="C12" s="107">
        <f>'PROGRAM BUDGET &amp; FISCAL REPORT'!G13</f>
        <v>336053.76333333331</v>
      </c>
      <c r="D12" s="107">
        <f>'PROGRAM BUDGET &amp; FISCAL REPORT'!H13</f>
        <v>223404.728</v>
      </c>
      <c r="E12" s="107">
        <f>'PROGRAM BUDGET &amp; FISCAL REPORT'!N13</f>
        <v>329901.14</v>
      </c>
      <c r="F12" s="108">
        <f>'PROGRAM BUDGET &amp; FISCAL REPORT'!L13</f>
        <v>223405.28000000003</v>
      </c>
      <c r="G12" s="40"/>
    </row>
    <row r="13" spans="1:8" ht="16.5" customHeight="1" x14ac:dyDescent="0.2">
      <c r="B13" s="45"/>
      <c r="C13" s="53"/>
      <c r="D13" s="53"/>
      <c r="E13" s="53"/>
      <c r="F13" s="54"/>
      <c r="G13" s="40"/>
    </row>
    <row r="14" spans="1:8" ht="19.5" x14ac:dyDescent="0.55000000000000004">
      <c r="B14" s="52" t="s">
        <v>209</v>
      </c>
      <c r="C14" s="323" t="s">
        <v>210</v>
      </c>
      <c r="D14" s="323"/>
      <c r="E14" s="323" t="s">
        <v>211</v>
      </c>
      <c r="F14" s="324"/>
      <c r="G14" s="40"/>
    </row>
    <row r="15" spans="1:8" ht="14.25" x14ac:dyDescent="0.2">
      <c r="B15" s="45" t="s">
        <v>212</v>
      </c>
      <c r="C15" s="109">
        <f>IFERROR(C12*C9,"N/A")</f>
        <v>231036.96229166666</v>
      </c>
      <c r="D15" s="55">
        <f>IFERROR(C15/C12,"N/A")</f>
        <v>0.6875</v>
      </c>
      <c r="E15" s="110">
        <f>IFERROR(E12*E9,"N/A")</f>
        <v>180563.1753909465</v>
      </c>
      <c r="F15" s="57">
        <f>IFERROR(E15/E12,"N/A")</f>
        <v>0.54732510288065839</v>
      </c>
      <c r="G15" s="40"/>
    </row>
    <row r="16" spans="1:8" ht="14.25" x14ac:dyDescent="0.2">
      <c r="B16" s="45" t="s">
        <v>213</v>
      </c>
      <c r="C16" s="109">
        <f>D12</f>
        <v>223404.728</v>
      </c>
      <c r="D16" s="55">
        <f>IFERROR(C16/C15, "N/A")</f>
        <v>0.96696531058943058</v>
      </c>
      <c r="E16" s="110">
        <f>F12</f>
        <v>223405.28000000003</v>
      </c>
      <c r="F16" s="57">
        <f>IFERROR(E16/E15, "N/A")</f>
        <v>1.2372693353242925</v>
      </c>
      <c r="G16" s="40"/>
      <c r="H16" s="41"/>
    </row>
    <row r="17" spans="2:7" ht="15" thickBot="1" x14ac:dyDescent="0.25">
      <c r="B17" s="45"/>
      <c r="C17" s="30"/>
      <c r="D17" s="55"/>
      <c r="E17" s="56"/>
      <c r="F17" s="57"/>
      <c r="G17" s="40"/>
    </row>
    <row r="18" spans="2:7" ht="15.75" thickBot="1" x14ac:dyDescent="0.3">
      <c r="B18" s="58" t="s">
        <v>214</v>
      </c>
      <c r="C18" s="111">
        <f>IFERROR(C15-C16,"N/A")</f>
        <v>7632.234291666653</v>
      </c>
      <c r="D18" s="59">
        <f>IFERROR(C18/C15, "N/A")</f>
        <v>3.3034689410569446E-2</v>
      </c>
      <c r="E18" s="111">
        <f>IFERROR(E15-E16, "N/A")</f>
        <v>-42842.104609053524</v>
      </c>
      <c r="F18" s="60">
        <f>IFERROR(E18/E15, "N/A")</f>
        <v>-0.23726933532429248</v>
      </c>
      <c r="G18" s="40"/>
    </row>
    <row r="19" spans="2:7" ht="30.75" thickBot="1" x14ac:dyDescent="0.3">
      <c r="B19" s="45"/>
      <c r="C19" s="61"/>
      <c r="D19" s="152" t="s">
        <v>215</v>
      </c>
      <c r="E19" s="47"/>
      <c r="F19" s="152" t="s">
        <v>215</v>
      </c>
    </row>
    <row r="20" spans="2:7" s="1" customFormat="1" ht="12.75" x14ac:dyDescent="0.2">
      <c r="B20" s="40"/>
      <c r="C20" s="36"/>
      <c r="D20" s="36"/>
      <c r="E20" s="36"/>
      <c r="F20" s="36"/>
      <c r="G20" s="36"/>
    </row>
  </sheetData>
  <sheetProtection algorithmName="SHA-512" hashValue="pd6KeVXOwr3Y3X87v9hOn/cK8gVH0h6xz/4NtYiB0Ly7yWQ/NFRuetH41PIjIbiQzs8TPTjPAU1/QIqFS9qJEA==" saltValue="LAw7IyVinSiZQEemTk6A/A==" spinCount="100000" sheet="1" objects="1" scenarios="1"/>
  <mergeCells count="2">
    <mergeCell ref="C14:D14"/>
    <mergeCell ref="E14:F14"/>
  </mergeCells>
  <pageMargins left="1" right="1" top="0.81" bottom="0.5" header="0.5" footer="0.5"/>
  <pageSetup scale="69" orientation="portrait" horizontalDpi="4294967295" verticalDpi="4294967295" r:id="rId1"/>
  <headerFooter alignWithMargins="0">
    <oddHeader>&amp;C&amp;"Arial,Bold"&amp;12Cash Match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G41"/>
  <sheetViews>
    <sheetView zoomScaleNormal="100" workbookViewId="0">
      <selection activeCell="E1" sqref="E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8.7109375" style="1"/>
    <col min="7" max="7" width="9.7109375" style="1" customWidth="1"/>
    <col min="8" max="253" width="8.7109375" style="1"/>
    <col min="254" max="254" width="12.28515625" style="1" customWidth="1"/>
    <col min="255" max="255" width="21" style="1" customWidth="1"/>
    <col min="256" max="256" width="15.42578125" style="1" customWidth="1"/>
    <col min="257" max="259" width="12.85546875" style="1" customWidth="1"/>
    <col min="260" max="260" width="8.7109375" style="1"/>
    <col min="261" max="261" width="15.42578125" style="1" customWidth="1"/>
    <col min="262" max="262" width="8.7109375" style="1"/>
    <col min="263" max="263" width="9.7109375" style="1" customWidth="1"/>
    <col min="264" max="509" width="8.7109375" style="1"/>
    <col min="510" max="510" width="12.28515625" style="1" customWidth="1"/>
    <col min="511" max="511" width="21" style="1" customWidth="1"/>
    <col min="512" max="512" width="15.42578125" style="1" customWidth="1"/>
    <col min="513" max="515" width="12.85546875" style="1" customWidth="1"/>
    <col min="516" max="516" width="8.7109375" style="1"/>
    <col min="517" max="517" width="15.42578125" style="1" customWidth="1"/>
    <col min="518" max="518" width="8.7109375" style="1"/>
    <col min="519" max="519" width="9.7109375" style="1" customWidth="1"/>
    <col min="520" max="765" width="8.7109375" style="1"/>
    <col min="766" max="766" width="12.28515625" style="1" customWidth="1"/>
    <col min="767" max="767" width="21" style="1" customWidth="1"/>
    <col min="768" max="768" width="15.42578125" style="1" customWidth="1"/>
    <col min="769" max="771" width="12.85546875" style="1" customWidth="1"/>
    <col min="772" max="772" width="8.7109375" style="1"/>
    <col min="773" max="773" width="15.42578125" style="1" customWidth="1"/>
    <col min="774" max="774" width="8.7109375" style="1"/>
    <col min="775" max="775" width="9.7109375" style="1" customWidth="1"/>
    <col min="776" max="1021" width="8.7109375" style="1"/>
    <col min="1022" max="1022" width="12.28515625" style="1" customWidth="1"/>
    <col min="1023" max="1023" width="21" style="1" customWidth="1"/>
    <col min="1024" max="1024" width="15.42578125" style="1" customWidth="1"/>
    <col min="1025" max="1027" width="12.85546875" style="1" customWidth="1"/>
    <col min="1028" max="1028" width="8.7109375" style="1"/>
    <col min="1029" max="1029" width="15.42578125" style="1" customWidth="1"/>
    <col min="1030" max="1030" width="8.7109375" style="1"/>
    <col min="1031" max="1031" width="9.7109375" style="1" customWidth="1"/>
    <col min="1032" max="1277" width="8.7109375" style="1"/>
    <col min="1278" max="1278" width="12.28515625" style="1" customWidth="1"/>
    <col min="1279" max="1279" width="21" style="1" customWidth="1"/>
    <col min="1280" max="1280" width="15.42578125" style="1" customWidth="1"/>
    <col min="1281" max="1283" width="12.85546875" style="1" customWidth="1"/>
    <col min="1284" max="1284" width="8.7109375" style="1"/>
    <col min="1285" max="1285" width="15.42578125" style="1" customWidth="1"/>
    <col min="1286" max="1286" width="8.7109375" style="1"/>
    <col min="1287" max="1287" width="9.7109375" style="1" customWidth="1"/>
    <col min="1288" max="1533" width="8.7109375" style="1"/>
    <col min="1534" max="1534" width="12.28515625" style="1" customWidth="1"/>
    <col min="1535" max="1535" width="21" style="1" customWidth="1"/>
    <col min="1536" max="1536" width="15.42578125" style="1" customWidth="1"/>
    <col min="1537" max="1539" width="12.85546875" style="1" customWidth="1"/>
    <col min="1540" max="1540" width="8.7109375" style="1"/>
    <col min="1541" max="1541" width="15.42578125" style="1" customWidth="1"/>
    <col min="1542" max="1542" width="8.7109375" style="1"/>
    <col min="1543" max="1543" width="9.7109375" style="1" customWidth="1"/>
    <col min="1544" max="1789" width="8.7109375" style="1"/>
    <col min="1790" max="1790" width="12.28515625" style="1" customWidth="1"/>
    <col min="1791" max="1791" width="21" style="1" customWidth="1"/>
    <col min="1792" max="1792" width="15.42578125" style="1" customWidth="1"/>
    <col min="1793" max="1795" width="12.85546875" style="1" customWidth="1"/>
    <col min="1796" max="1796" width="8.7109375" style="1"/>
    <col min="1797" max="1797" width="15.42578125" style="1" customWidth="1"/>
    <col min="1798" max="1798" width="8.7109375" style="1"/>
    <col min="1799" max="1799" width="9.7109375" style="1" customWidth="1"/>
    <col min="1800" max="2045" width="8.7109375" style="1"/>
    <col min="2046" max="2046" width="12.28515625" style="1" customWidth="1"/>
    <col min="2047" max="2047" width="21" style="1" customWidth="1"/>
    <col min="2048" max="2048" width="15.42578125" style="1" customWidth="1"/>
    <col min="2049" max="2051" width="12.85546875" style="1" customWidth="1"/>
    <col min="2052" max="2052" width="8.7109375" style="1"/>
    <col min="2053" max="2053" width="15.42578125" style="1" customWidth="1"/>
    <col min="2054" max="2054" width="8.7109375" style="1"/>
    <col min="2055" max="2055" width="9.7109375" style="1" customWidth="1"/>
    <col min="2056" max="2301" width="8.7109375" style="1"/>
    <col min="2302" max="2302" width="12.28515625" style="1" customWidth="1"/>
    <col min="2303" max="2303" width="21" style="1" customWidth="1"/>
    <col min="2304" max="2304" width="15.42578125" style="1" customWidth="1"/>
    <col min="2305" max="2307" width="12.85546875" style="1" customWidth="1"/>
    <col min="2308" max="2308" width="8.7109375" style="1"/>
    <col min="2309" max="2309" width="15.42578125" style="1" customWidth="1"/>
    <col min="2310" max="2310" width="8.7109375" style="1"/>
    <col min="2311" max="2311" width="9.7109375" style="1" customWidth="1"/>
    <col min="2312" max="2557" width="8.7109375" style="1"/>
    <col min="2558" max="2558" width="12.28515625" style="1" customWidth="1"/>
    <col min="2559" max="2559" width="21" style="1" customWidth="1"/>
    <col min="2560" max="2560" width="15.42578125" style="1" customWidth="1"/>
    <col min="2561" max="2563" width="12.85546875" style="1" customWidth="1"/>
    <col min="2564" max="2564" width="8.7109375" style="1"/>
    <col min="2565" max="2565" width="15.42578125" style="1" customWidth="1"/>
    <col min="2566" max="2566" width="8.7109375" style="1"/>
    <col min="2567" max="2567" width="9.7109375" style="1" customWidth="1"/>
    <col min="2568" max="2813" width="8.7109375" style="1"/>
    <col min="2814" max="2814" width="12.28515625" style="1" customWidth="1"/>
    <col min="2815" max="2815" width="21" style="1" customWidth="1"/>
    <col min="2816" max="2816" width="15.42578125" style="1" customWidth="1"/>
    <col min="2817" max="2819" width="12.85546875" style="1" customWidth="1"/>
    <col min="2820" max="2820" width="8.7109375" style="1"/>
    <col min="2821" max="2821" width="15.42578125" style="1" customWidth="1"/>
    <col min="2822" max="2822" width="8.7109375" style="1"/>
    <col min="2823" max="2823" width="9.7109375" style="1" customWidth="1"/>
    <col min="2824" max="3069" width="8.7109375" style="1"/>
    <col min="3070" max="3070" width="12.28515625" style="1" customWidth="1"/>
    <col min="3071" max="3071" width="21" style="1" customWidth="1"/>
    <col min="3072" max="3072" width="15.42578125" style="1" customWidth="1"/>
    <col min="3073" max="3075" width="12.85546875" style="1" customWidth="1"/>
    <col min="3076" max="3076" width="8.7109375" style="1"/>
    <col min="3077" max="3077" width="15.42578125" style="1" customWidth="1"/>
    <col min="3078" max="3078" width="8.7109375" style="1"/>
    <col min="3079" max="3079" width="9.7109375" style="1" customWidth="1"/>
    <col min="3080" max="3325" width="8.7109375" style="1"/>
    <col min="3326" max="3326" width="12.28515625" style="1" customWidth="1"/>
    <col min="3327" max="3327" width="21" style="1" customWidth="1"/>
    <col min="3328" max="3328" width="15.42578125" style="1" customWidth="1"/>
    <col min="3329" max="3331" width="12.85546875" style="1" customWidth="1"/>
    <col min="3332" max="3332" width="8.7109375" style="1"/>
    <col min="3333" max="3333" width="15.42578125" style="1" customWidth="1"/>
    <col min="3334" max="3334" width="8.7109375" style="1"/>
    <col min="3335" max="3335" width="9.7109375" style="1" customWidth="1"/>
    <col min="3336" max="3581" width="8.7109375" style="1"/>
    <col min="3582" max="3582" width="12.28515625" style="1" customWidth="1"/>
    <col min="3583" max="3583" width="21" style="1" customWidth="1"/>
    <col min="3584" max="3584" width="15.42578125" style="1" customWidth="1"/>
    <col min="3585" max="3587" width="12.85546875" style="1" customWidth="1"/>
    <col min="3588" max="3588" width="8.7109375" style="1"/>
    <col min="3589" max="3589" width="15.42578125" style="1" customWidth="1"/>
    <col min="3590" max="3590" width="8.7109375" style="1"/>
    <col min="3591" max="3591" width="9.7109375" style="1" customWidth="1"/>
    <col min="3592" max="3837" width="8.7109375" style="1"/>
    <col min="3838" max="3838" width="12.28515625" style="1" customWidth="1"/>
    <col min="3839" max="3839" width="21" style="1" customWidth="1"/>
    <col min="3840" max="3840" width="15.42578125" style="1" customWidth="1"/>
    <col min="3841" max="3843" width="12.85546875" style="1" customWidth="1"/>
    <col min="3844" max="3844" width="8.7109375" style="1"/>
    <col min="3845" max="3845" width="15.42578125" style="1" customWidth="1"/>
    <col min="3846" max="3846" width="8.7109375" style="1"/>
    <col min="3847" max="3847" width="9.7109375" style="1" customWidth="1"/>
    <col min="3848" max="4093" width="8.7109375" style="1"/>
    <col min="4094" max="4094" width="12.28515625" style="1" customWidth="1"/>
    <col min="4095" max="4095" width="21" style="1" customWidth="1"/>
    <col min="4096" max="4096" width="15.42578125" style="1" customWidth="1"/>
    <col min="4097" max="4099" width="12.85546875" style="1" customWidth="1"/>
    <col min="4100" max="4100" width="8.7109375" style="1"/>
    <col min="4101" max="4101" width="15.42578125" style="1" customWidth="1"/>
    <col min="4102" max="4102" width="8.7109375" style="1"/>
    <col min="4103" max="4103" width="9.7109375" style="1" customWidth="1"/>
    <col min="4104" max="4349" width="8.7109375" style="1"/>
    <col min="4350" max="4350" width="12.28515625" style="1" customWidth="1"/>
    <col min="4351" max="4351" width="21" style="1" customWidth="1"/>
    <col min="4352" max="4352" width="15.42578125" style="1" customWidth="1"/>
    <col min="4353" max="4355" width="12.85546875" style="1" customWidth="1"/>
    <col min="4356" max="4356" width="8.7109375" style="1"/>
    <col min="4357" max="4357" width="15.42578125" style="1" customWidth="1"/>
    <col min="4358" max="4358" width="8.7109375" style="1"/>
    <col min="4359" max="4359" width="9.7109375" style="1" customWidth="1"/>
    <col min="4360" max="4605" width="8.7109375" style="1"/>
    <col min="4606" max="4606" width="12.28515625" style="1" customWidth="1"/>
    <col min="4607" max="4607" width="21" style="1" customWidth="1"/>
    <col min="4608" max="4608" width="15.42578125" style="1" customWidth="1"/>
    <col min="4609" max="4611" width="12.85546875" style="1" customWidth="1"/>
    <col min="4612" max="4612" width="8.7109375" style="1"/>
    <col min="4613" max="4613" width="15.42578125" style="1" customWidth="1"/>
    <col min="4614" max="4614" width="8.7109375" style="1"/>
    <col min="4615" max="4615" width="9.7109375" style="1" customWidth="1"/>
    <col min="4616" max="4861" width="8.7109375" style="1"/>
    <col min="4862" max="4862" width="12.28515625" style="1" customWidth="1"/>
    <col min="4863" max="4863" width="21" style="1" customWidth="1"/>
    <col min="4864" max="4864" width="15.42578125" style="1" customWidth="1"/>
    <col min="4865" max="4867" width="12.85546875" style="1" customWidth="1"/>
    <col min="4868" max="4868" width="8.7109375" style="1"/>
    <col min="4869" max="4869" width="15.42578125" style="1" customWidth="1"/>
    <col min="4870" max="4870" width="8.7109375" style="1"/>
    <col min="4871" max="4871" width="9.7109375" style="1" customWidth="1"/>
    <col min="4872" max="5117" width="8.7109375" style="1"/>
    <col min="5118" max="5118" width="12.28515625" style="1" customWidth="1"/>
    <col min="5119" max="5119" width="21" style="1" customWidth="1"/>
    <col min="5120" max="5120" width="15.42578125" style="1" customWidth="1"/>
    <col min="5121" max="5123" width="12.85546875" style="1" customWidth="1"/>
    <col min="5124" max="5124" width="8.7109375" style="1"/>
    <col min="5125" max="5125" width="15.42578125" style="1" customWidth="1"/>
    <col min="5126" max="5126" width="8.7109375" style="1"/>
    <col min="5127" max="5127" width="9.7109375" style="1" customWidth="1"/>
    <col min="5128" max="5373" width="8.7109375" style="1"/>
    <col min="5374" max="5374" width="12.28515625" style="1" customWidth="1"/>
    <col min="5375" max="5375" width="21" style="1" customWidth="1"/>
    <col min="5376" max="5376" width="15.42578125" style="1" customWidth="1"/>
    <col min="5377" max="5379" width="12.85546875" style="1" customWidth="1"/>
    <col min="5380" max="5380" width="8.7109375" style="1"/>
    <col min="5381" max="5381" width="15.42578125" style="1" customWidth="1"/>
    <col min="5382" max="5382" width="8.7109375" style="1"/>
    <col min="5383" max="5383" width="9.7109375" style="1" customWidth="1"/>
    <col min="5384" max="5629" width="8.7109375" style="1"/>
    <col min="5630" max="5630" width="12.28515625" style="1" customWidth="1"/>
    <col min="5631" max="5631" width="21" style="1" customWidth="1"/>
    <col min="5632" max="5632" width="15.42578125" style="1" customWidth="1"/>
    <col min="5633" max="5635" width="12.85546875" style="1" customWidth="1"/>
    <col min="5636" max="5636" width="8.7109375" style="1"/>
    <col min="5637" max="5637" width="15.42578125" style="1" customWidth="1"/>
    <col min="5638" max="5638" width="8.7109375" style="1"/>
    <col min="5639" max="5639" width="9.7109375" style="1" customWidth="1"/>
    <col min="5640" max="5885" width="8.7109375" style="1"/>
    <col min="5886" max="5886" width="12.28515625" style="1" customWidth="1"/>
    <col min="5887" max="5887" width="21" style="1" customWidth="1"/>
    <col min="5888" max="5888" width="15.42578125" style="1" customWidth="1"/>
    <col min="5889" max="5891" width="12.85546875" style="1" customWidth="1"/>
    <col min="5892" max="5892" width="8.7109375" style="1"/>
    <col min="5893" max="5893" width="15.42578125" style="1" customWidth="1"/>
    <col min="5894" max="5894" width="8.7109375" style="1"/>
    <col min="5895" max="5895" width="9.7109375" style="1" customWidth="1"/>
    <col min="5896" max="6141" width="8.7109375" style="1"/>
    <col min="6142" max="6142" width="12.28515625" style="1" customWidth="1"/>
    <col min="6143" max="6143" width="21" style="1" customWidth="1"/>
    <col min="6144" max="6144" width="15.42578125" style="1" customWidth="1"/>
    <col min="6145" max="6147" width="12.85546875" style="1" customWidth="1"/>
    <col min="6148" max="6148" width="8.7109375" style="1"/>
    <col min="6149" max="6149" width="15.42578125" style="1" customWidth="1"/>
    <col min="6150" max="6150" width="8.7109375" style="1"/>
    <col min="6151" max="6151" width="9.7109375" style="1" customWidth="1"/>
    <col min="6152" max="6397" width="8.7109375" style="1"/>
    <col min="6398" max="6398" width="12.28515625" style="1" customWidth="1"/>
    <col min="6399" max="6399" width="21" style="1" customWidth="1"/>
    <col min="6400" max="6400" width="15.42578125" style="1" customWidth="1"/>
    <col min="6401" max="6403" width="12.85546875" style="1" customWidth="1"/>
    <col min="6404" max="6404" width="8.7109375" style="1"/>
    <col min="6405" max="6405" width="15.42578125" style="1" customWidth="1"/>
    <col min="6406" max="6406" width="8.7109375" style="1"/>
    <col min="6407" max="6407" width="9.7109375" style="1" customWidth="1"/>
    <col min="6408" max="6653" width="8.7109375" style="1"/>
    <col min="6654" max="6654" width="12.28515625" style="1" customWidth="1"/>
    <col min="6655" max="6655" width="21" style="1" customWidth="1"/>
    <col min="6656" max="6656" width="15.42578125" style="1" customWidth="1"/>
    <col min="6657" max="6659" width="12.85546875" style="1" customWidth="1"/>
    <col min="6660" max="6660" width="8.7109375" style="1"/>
    <col min="6661" max="6661" width="15.42578125" style="1" customWidth="1"/>
    <col min="6662" max="6662" width="8.7109375" style="1"/>
    <col min="6663" max="6663" width="9.7109375" style="1" customWidth="1"/>
    <col min="6664" max="6909" width="8.7109375" style="1"/>
    <col min="6910" max="6910" width="12.28515625" style="1" customWidth="1"/>
    <col min="6911" max="6911" width="21" style="1" customWidth="1"/>
    <col min="6912" max="6912" width="15.42578125" style="1" customWidth="1"/>
    <col min="6913" max="6915" width="12.85546875" style="1" customWidth="1"/>
    <col min="6916" max="6916" width="8.7109375" style="1"/>
    <col min="6917" max="6917" width="15.42578125" style="1" customWidth="1"/>
    <col min="6918" max="6918" width="8.7109375" style="1"/>
    <col min="6919" max="6919" width="9.7109375" style="1" customWidth="1"/>
    <col min="6920" max="7165" width="8.7109375" style="1"/>
    <col min="7166" max="7166" width="12.28515625" style="1" customWidth="1"/>
    <col min="7167" max="7167" width="21" style="1" customWidth="1"/>
    <col min="7168" max="7168" width="15.42578125" style="1" customWidth="1"/>
    <col min="7169" max="7171" width="12.85546875" style="1" customWidth="1"/>
    <col min="7172" max="7172" width="8.7109375" style="1"/>
    <col min="7173" max="7173" width="15.42578125" style="1" customWidth="1"/>
    <col min="7174" max="7174" width="8.7109375" style="1"/>
    <col min="7175" max="7175" width="9.7109375" style="1" customWidth="1"/>
    <col min="7176" max="7421" width="8.7109375" style="1"/>
    <col min="7422" max="7422" width="12.28515625" style="1" customWidth="1"/>
    <col min="7423" max="7423" width="21" style="1" customWidth="1"/>
    <col min="7424" max="7424" width="15.42578125" style="1" customWidth="1"/>
    <col min="7425" max="7427" width="12.85546875" style="1" customWidth="1"/>
    <col min="7428" max="7428" width="8.7109375" style="1"/>
    <col min="7429" max="7429" width="15.42578125" style="1" customWidth="1"/>
    <col min="7430" max="7430" width="8.7109375" style="1"/>
    <col min="7431" max="7431" width="9.7109375" style="1" customWidth="1"/>
    <col min="7432" max="7677" width="8.7109375" style="1"/>
    <col min="7678" max="7678" width="12.28515625" style="1" customWidth="1"/>
    <col min="7679" max="7679" width="21" style="1" customWidth="1"/>
    <col min="7680" max="7680" width="15.42578125" style="1" customWidth="1"/>
    <col min="7681" max="7683" width="12.85546875" style="1" customWidth="1"/>
    <col min="7684" max="7684" width="8.7109375" style="1"/>
    <col min="7685" max="7685" width="15.42578125" style="1" customWidth="1"/>
    <col min="7686" max="7686" width="8.7109375" style="1"/>
    <col min="7687" max="7687" width="9.7109375" style="1" customWidth="1"/>
    <col min="7688" max="7933" width="8.7109375" style="1"/>
    <col min="7934" max="7934" width="12.28515625" style="1" customWidth="1"/>
    <col min="7935" max="7935" width="21" style="1" customWidth="1"/>
    <col min="7936" max="7936" width="15.42578125" style="1" customWidth="1"/>
    <col min="7937" max="7939" width="12.85546875" style="1" customWidth="1"/>
    <col min="7940" max="7940" width="8.7109375" style="1"/>
    <col min="7941" max="7941" width="15.42578125" style="1" customWidth="1"/>
    <col min="7942" max="7942" width="8.7109375" style="1"/>
    <col min="7943" max="7943" width="9.7109375" style="1" customWidth="1"/>
    <col min="7944" max="8189" width="8.7109375" style="1"/>
    <col min="8190" max="8190" width="12.28515625" style="1" customWidth="1"/>
    <col min="8191" max="8191" width="21" style="1" customWidth="1"/>
    <col min="8192" max="8192" width="15.42578125" style="1" customWidth="1"/>
    <col min="8193" max="8195" width="12.85546875" style="1" customWidth="1"/>
    <col min="8196" max="8196" width="8.7109375" style="1"/>
    <col min="8197" max="8197" width="15.42578125" style="1" customWidth="1"/>
    <col min="8198" max="8198" width="8.7109375" style="1"/>
    <col min="8199" max="8199" width="9.7109375" style="1" customWidth="1"/>
    <col min="8200" max="8445" width="8.7109375" style="1"/>
    <col min="8446" max="8446" width="12.28515625" style="1" customWidth="1"/>
    <col min="8447" max="8447" width="21" style="1" customWidth="1"/>
    <col min="8448" max="8448" width="15.42578125" style="1" customWidth="1"/>
    <col min="8449" max="8451" width="12.85546875" style="1" customWidth="1"/>
    <col min="8452" max="8452" width="8.7109375" style="1"/>
    <col min="8453" max="8453" width="15.42578125" style="1" customWidth="1"/>
    <col min="8454" max="8454" width="8.7109375" style="1"/>
    <col min="8455" max="8455" width="9.7109375" style="1" customWidth="1"/>
    <col min="8456" max="8701" width="8.7109375" style="1"/>
    <col min="8702" max="8702" width="12.28515625" style="1" customWidth="1"/>
    <col min="8703" max="8703" width="21" style="1" customWidth="1"/>
    <col min="8704" max="8704" width="15.42578125" style="1" customWidth="1"/>
    <col min="8705" max="8707" width="12.85546875" style="1" customWidth="1"/>
    <col min="8708" max="8708" width="8.7109375" style="1"/>
    <col min="8709" max="8709" width="15.42578125" style="1" customWidth="1"/>
    <col min="8710" max="8710" width="8.7109375" style="1"/>
    <col min="8711" max="8711" width="9.7109375" style="1" customWidth="1"/>
    <col min="8712" max="8957" width="8.7109375" style="1"/>
    <col min="8958" max="8958" width="12.28515625" style="1" customWidth="1"/>
    <col min="8959" max="8959" width="21" style="1" customWidth="1"/>
    <col min="8960" max="8960" width="15.42578125" style="1" customWidth="1"/>
    <col min="8961" max="8963" width="12.85546875" style="1" customWidth="1"/>
    <col min="8964" max="8964" width="8.7109375" style="1"/>
    <col min="8965" max="8965" width="15.42578125" style="1" customWidth="1"/>
    <col min="8966" max="8966" width="8.7109375" style="1"/>
    <col min="8967" max="8967" width="9.7109375" style="1" customWidth="1"/>
    <col min="8968" max="9213" width="8.7109375" style="1"/>
    <col min="9214" max="9214" width="12.28515625" style="1" customWidth="1"/>
    <col min="9215" max="9215" width="21" style="1" customWidth="1"/>
    <col min="9216" max="9216" width="15.42578125" style="1" customWidth="1"/>
    <col min="9217" max="9219" width="12.85546875" style="1" customWidth="1"/>
    <col min="9220" max="9220" width="8.7109375" style="1"/>
    <col min="9221" max="9221" width="15.42578125" style="1" customWidth="1"/>
    <col min="9222" max="9222" width="8.7109375" style="1"/>
    <col min="9223" max="9223" width="9.7109375" style="1" customWidth="1"/>
    <col min="9224" max="9469" width="8.7109375" style="1"/>
    <col min="9470" max="9470" width="12.28515625" style="1" customWidth="1"/>
    <col min="9471" max="9471" width="21" style="1" customWidth="1"/>
    <col min="9472" max="9472" width="15.42578125" style="1" customWidth="1"/>
    <col min="9473" max="9475" width="12.85546875" style="1" customWidth="1"/>
    <col min="9476" max="9476" width="8.7109375" style="1"/>
    <col min="9477" max="9477" width="15.42578125" style="1" customWidth="1"/>
    <col min="9478" max="9478" width="8.7109375" style="1"/>
    <col min="9479" max="9479" width="9.7109375" style="1" customWidth="1"/>
    <col min="9480" max="9725" width="8.7109375" style="1"/>
    <col min="9726" max="9726" width="12.28515625" style="1" customWidth="1"/>
    <col min="9727" max="9727" width="21" style="1" customWidth="1"/>
    <col min="9728" max="9728" width="15.42578125" style="1" customWidth="1"/>
    <col min="9729" max="9731" width="12.85546875" style="1" customWidth="1"/>
    <col min="9732" max="9732" width="8.7109375" style="1"/>
    <col min="9733" max="9733" width="15.42578125" style="1" customWidth="1"/>
    <col min="9734" max="9734" width="8.7109375" style="1"/>
    <col min="9735" max="9735" width="9.7109375" style="1" customWidth="1"/>
    <col min="9736" max="9981" width="8.7109375" style="1"/>
    <col min="9982" max="9982" width="12.28515625" style="1" customWidth="1"/>
    <col min="9983" max="9983" width="21" style="1" customWidth="1"/>
    <col min="9984" max="9984" width="15.42578125" style="1" customWidth="1"/>
    <col min="9985" max="9987" width="12.85546875" style="1" customWidth="1"/>
    <col min="9988" max="9988" width="8.7109375" style="1"/>
    <col min="9989" max="9989" width="15.42578125" style="1" customWidth="1"/>
    <col min="9990" max="9990" width="8.7109375" style="1"/>
    <col min="9991" max="9991" width="9.7109375" style="1" customWidth="1"/>
    <col min="9992" max="10237" width="8.7109375" style="1"/>
    <col min="10238" max="10238" width="12.28515625" style="1" customWidth="1"/>
    <col min="10239" max="10239" width="21" style="1" customWidth="1"/>
    <col min="10240" max="10240" width="15.42578125" style="1" customWidth="1"/>
    <col min="10241" max="10243" width="12.85546875" style="1" customWidth="1"/>
    <col min="10244" max="10244" width="8.7109375" style="1"/>
    <col min="10245" max="10245" width="15.42578125" style="1" customWidth="1"/>
    <col min="10246" max="10246" width="8.7109375" style="1"/>
    <col min="10247" max="10247" width="9.7109375" style="1" customWidth="1"/>
    <col min="10248" max="10493" width="8.7109375" style="1"/>
    <col min="10494" max="10494" width="12.28515625" style="1" customWidth="1"/>
    <col min="10495" max="10495" width="21" style="1" customWidth="1"/>
    <col min="10496" max="10496" width="15.42578125" style="1" customWidth="1"/>
    <col min="10497" max="10499" width="12.85546875" style="1" customWidth="1"/>
    <col min="10500" max="10500" width="8.7109375" style="1"/>
    <col min="10501" max="10501" width="15.42578125" style="1" customWidth="1"/>
    <col min="10502" max="10502" width="8.7109375" style="1"/>
    <col min="10503" max="10503" width="9.7109375" style="1" customWidth="1"/>
    <col min="10504" max="10749" width="8.7109375" style="1"/>
    <col min="10750" max="10750" width="12.28515625" style="1" customWidth="1"/>
    <col min="10751" max="10751" width="21" style="1" customWidth="1"/>
    <col min="10752" max="10752" width="15.42578125" style="1" customWidth="1"/>
    <col min="10753" max="10755" width="12.85546875" style="1" customWidth="1"/>
    <col min="10756" max="10756" width="8.7109375" style="1"/>
    <col min="10757" max="10757" width="15.42578125" style="1" customWidth="1"/>
    <col min="10758" max="10758" width="8.7109375" style="1"/>
    <col min="10759" max="10759" width="9.7109375" style="1" customWidth="1"/>
    <col min="10760" max="11005" width="8.7109375" style="1"/>
    <col min="11006" max="11006" width="12.28515625" style="1" customWidth="1"/>
    <col min="11007" max="11007" width="21" style="1" customWidth="1"/>
    <col min="11008" max="11008" width="15.42578125" style="1" customWidth="1"/>
    <col min="11009" max="11011" width="12.85546875" style="1" customWidth="1"/>
    <col min="11012" max="11012" width="8.7109375" style="1"/>
    <col min="11013" max="11013" width="15.42578125" style="1" customWidth="1"/>
    <col min="11014" max="11014" width="8.7109375" style="1"/>
    <col min="11015" max="11015" width="9.7109375" style="1" customWidth="1"/>
    <col min="11016" max="11261" width="8.7109375" style="1"/>
    <col min="11262" max="11262" width="12.28515625" style="1" customWidth="1"/>
    <col min="11263" max="11263" width="21" style="1" customWidth="1"/>
    <col min="11264" max="11264" width="15.42578125" style="1" customWidth="1"/>
    <col min="11265" max="11267" width="12.85546875" style="1" customWidth="1"/>
    <col min="11268" max="11268" width="8.7109375" style="1"/>
    <col min="11269" max="11269" width="15.42578125" style="1" customWidth="1"/>
    <col min="11270" max="11270" width="8.7109375" style="1"/>
    <col min="11271" max="11271" width="9.7109375" style="1" customWidth="1"/>
    <col min="11272" max="11517" width="8.7109375" style="1"/>
    <col min="11518" max="11518" width="12.28515625" style="1" customWidth="1"/>
    <col min="11519" max="11519" width="21" style="1" customWidth="1"/>
    <col min="11520" max="11520" width="15.42578125" style="1" customWidth="1"/>
    <col min="11521" max="11523" width="12.85546875" style="1" customWidth="1"/>
    <col min="11524" max="11524" width="8.7109375" style="1"/>
    <col min="11525" max="11525" width="15.42578125" style="1" customWidth="1"/>
    <col min="11526" max="11526" width="8.7109375" style="1"/>
    <col min="11527" max="11527" width="9.7109375" style="1" customWidth="1"/>
    <col min="11528" max="11773" width="8.7109375" style="1"/>
    <col min="11774" max="11774" width="12.28515625" style="1" customWidth="1"/>
    <col min="11775" max="11775" width="21" style="1" customWidth="1"/>
    <col min="11776" max="11776" width="15.42578125" style="1" customWidth="1"/>
    <col min="11777" max="11779" width="12.85546875" style="1" customWidth="1"/>
    <col min="11780" max="11780" width="8.7109375" style="1"/>
    <col min="11781" max="11781" width="15.42578125" style="1" customWidth="1"/>
    <col min="11782" max="11782" width="8.7109375" style="1"/>
    <col min="11783" max="11783" width="9.7109375" style="1" customWidth="1"/>
    <col min="11784" max="12029" width="8.7109375" style="1"/>
    <col min="12030" max="12030" width="12.28515625" style="1" customWidth="1"/>
    <col min="12031" max="12031" width="21" style="1" customWidth="1"/>
    <col min="12032" max="12032" width="15.42578125" style="1" customWidth="1"/>
    <col min="12033" max="12035" width="12.85546875" style="1" customWidth="1"/>
    <col min="12036" max="12036" width="8.7109375" style="1"/>
    <col min="12037" max="12037" width="15.42578125" style="1" customWidth="1"/>
    <col min="12038" max="12038" width="8.7109375" style="1"/>
    <col min="12039" max="12039" width="9.7109375" style="1" customWidth="1"/>
    <col min="12040" max="12285" width="8.7109375" style="1"/>
    <col min="12286" max="12286" width="12.28515625" style="1" customWidth="1"/>
    <col min="12287" max="12287" width="21" style="1" customWidth="1"/>
    <col min="12288" max="12288" width="15.42578125" style="1" customWidth="1"/>
    <col min="12289" max="12291" width="12.85546875" style="1" customWidth="1"/>
    <col min="12292" max="12292" width="8.7109375" style="1"/>
    <col min="12293" max="12293" width="15.42578125" style="1" customWidth="1"/>
    <col min="12294" max="12294" width="8.7109375" style="1"/>
    <col min="12295" max="12295" width="9.7109375" style="1" customWidth="1"/>
    <col min="12296" max="12541" width="8.7109375" style="1"/>
    <col min="12542" max="12542" width="12.28515625" style="1" customWidth="1"/>
    <col min="12543" max="12543" width="21" style="1" customWidth="1"/>
    <col min="12544" max="12544" width="15.42578125" style="1" customWidth="1"/>
    <col min="12545" max="12547" width="12.85546875" style="1" customWidth="1"/>
    <col min="12548" max="12548" width="8.7109375" style="1"/>
    <col min="12549" max="12549" width="15.42578125" style="1" customWidth="1"/>
    <col min="12550" max="12550" width="8.7109375" style="1"/>
    <col min="12551" max="12551" width="9.7109375" style="1" customWidth="1"/>
    <col min="12552" max="12797" width="8.7109375" style="1"/>
    <col min="12798" max="12798" width="12.28515625" style="1" customWidth="1"/>
    <col min="12799" max="12799" width="21" style="1" customWidth="1"/>
    <col min="12800" max="12800" width="15.42578125" style="1" customWidth="1"/>
    <col min="12801" max="12803" width="12.85546875" style="1" customWidth="1"/>
    <col min="12804" max="12804" width="8.7109375" style="1"/>
    <col min="12805" max="12805" width="15.42578125" style="1" customWidth="1"/>
    <col min="12806" max="12806" width="8.7109375" style="1"/>
    <col min="12807" max="12807" width="9.7109375" style="1" customWidth="1"/>
    <col min="12808" max="13053" width="8.7109375" style="1"/>
    <col min="13054" max="13054" width="12.28515625" style="1" customWidth="1"/>
    <col min="13055" max="13055" width="21" style="1" customWidth="1"/>
    <col min="13056" max="13056" width="15.42578125" style="1" customWidth="1"/>
    <col min="13057" max="13059" width="12.85546875" style="1" customWidth="1"/>
    <col min="13060" max="13060" width="8.7109375" style="1"/>
    <col min="13061" max="13061" width="15.42578125" style="1" customWidth="1"/>
    <col min="13062" max="13062" width="8.7109375" style="1"/>
    <col min="13063" max="13063" width="9.7109375" style="1" customWidth="1"/>
    <col min="13064" max="13309" width="8.7109375" style="1"/>
    <col min="13310" max="13310" width="12.28515625" style="1" customWidth="1"/>
    <col min="13311" max="13311" width="21" style="1" customWidth="1"/>
    <col min="13312" max="13312" width="15.42578125" style="1" customWidth="1"/>
    <col min="13313" max="13315" width="12.85546875" style="1" customWidth="1"/>
    <col min="13316" max="13316" width="8.7109375" style="1"/>
    <col min="13317" max="13317" width="15.42578125" style="1" customWidth="1"/>
    <col min="13318" max="13318" width="8.7109375" style="1"/>
    <col min="13319" max="13319" width="9.7109375" style="1" customWidth="1"/>
    <col min="13320" max="13565" width="8.7109375" style="1"/>
    <col min="13566" max="13566" width="12.28515625" style="1" customWidth="1"/>
    <col min="13567" max="13567" width="21" style="1" customWidth="1"/>
    <col min="13568" max="13568" width="15.42578125" style="1" customWidth="1"/>
    <col min="13569" max="13571" width="12.85546875" style="1" customWidth="1"/>
    <col min="13572" max="13572" width="8.7109375" style="1"/>
    <col min="13573" max="13573" width="15.42578125" style="1" customWidth="1"/>
    <col min="13574" max="13574" width="8.7109375" style="1"/>
    <col min="13575" max="13575" width="9.7109375" style="1" customWidth="1"/>
    <col min="13576" max="13821" width="8.7109375" style="1"/>
    <col min="13822" max="13822" width="12.28515625" style="1" customWidth="1"/>
    <col min="13823" max="13823" width="21" style="1" customWidth="1"/>
    <col min="13824" max="13824" width="15.42578125" style="1" customWidth="1"/>
    <col min="13825" max="13827" width="12.85546875" style="1" customWidth="1"/>
    <col min="13828" max="13828" width="8.7109375" style="1"/>
    <col min="13829" max="13829" width="15.42578125" style="1" customWidth="1"/>
    <col min="13830" max="13830" width="8.7109375" style="1"/>
    <col min="13831" max="13831" width="9.7109375" style="1" customWidth="1"/>
    <col min="13832" max="14077" width="8.7109375" style="1"/>
    <col min="14078" max="14078" width="12.28515625" style="1" customWidth="1"/>
    <col min="14079" max="14079" width="21" style="1" customWidth="1"/>
    <col min="14080" max="14080" width="15.42578125" style="1" customWidth="1"/>
    <col min="14081" max="14083" width="12.85546875" style="1" customWidth="1"/>
    <col min="14084" max="14084" width="8.7109375" style="1"/>
    <col min="14085" max="14085" width="15.42578125" style="1" customWidth="1"/>
    <col min="14086" max="14086" width="8.7109375" style="1"/>
    <col min="14087" max="14087" width="9.7109375" style="1" customWidth="1"/>
    <col min="14088" max="14333" width="8.7109375" style="1"/>
    <col min="14334" max="14334" width="12.28515625" style="1" customWidth="1"/>
    <col min="14335" max="14335" width="21" style="1" customWidth="1"/>
    <col min="14336" max="14336" width="15.42578125" style="1" customWidth="1"/>
    <col min="14337" max="14339" width="12.85546875" style="1" customWidth="1"/>
    <col min="14340" max="14340" width="8.7109375" style="1"/>
    <col min="14341" max="14341" width="15.42578125" style="1" customWidth="1"/>
    <col min="14342" max="14342" width="8.7109375" style="1"/>
    <col min="14343" max="14343" width="9.7109375" style="1" customWidth="1"/>
    <col min="14344" max="14589" width="8.7109375" style="1"/>
    <col min="14590" max="14590" width="12.28515625" style="1" customWidth="1"/>
    <col min="14591" max="14591" width="21" style="1" customWidth="1"/>
    <col min="14592" max="14592" width="15.42578125" style="1" customWidth="1"/>
    <col min="14593" max="14595" width="12.85546875" style="1" customWidth="1"/>
    <col min="14596" max="14596" width="8.7109375" style="1"/>
    <col min="14597" max="14597" width="15.42578125" style="1" customWidth="1"/>
    <col min="14598" max="14598" width="8.7109375" style="1"/>
    <col min="14599" max="14599" width="9.7109375" style="1" customWidth="1"/>
    <col min="14600" max="14845" width="8.7109375" style="1"/>
    <col min="14846" max="14846" width="12.28515625" style="1" customWidth="1"/>
    <col min="14847" max="14847" width="21" style="1" customWidth="1"/>
    <col min="14848" max="14848" width="15.42578125" style="1" customWidth="1"/>
    <col min="14849" max="14851" width="12.85546875" style="1" customWidth="1"/>
    <col min="14852" max="14852" width="8.7109375" style="1"/>
    <col min="14853" max="14853" width="15.42578125" style="1" customWidth="1"/>
    <col min="14854" max="14854" width="8.7109375" style="1"/>
    <col min="14855" max="14855" width="9.7109375" style="1" customWidth="1"/>
    <col min="14856" max="15101" width="8.7109375" style="1"/>
    <col min="15102" max="15102" width="12.28515625" style="1" customWidth="1"/>
    <col min="15103" max="15103" width="21" style="1" customWidth="1"/>
    <col min="15104" max="15104" width="15.42578125" style="1" customWidth="1"/>
    <col min="15105" max="15107" width="12.85546875" style="1" customWidth="1"/>
    <col min="15108" max="15108" width="8.7109375" style="1"/>
    <col min="15109" max="15109" width="15.42578125" style="1" customWidth="1"/>
    <col min="15110" max="15110" width="8.7109375" style="1"/>
    <col min="15111" max="15111" width="9.7109375" style="1" customWidth="1"/>
    <col min="15112" max="15357" width="8.7109375" style="1"/>
    <col min="15358" max="15358" width="12.28515625" style="1" customWidth="1"/>
    <col min="15359" max="15359" width="21" style="1" customWidth="1"/>
    <col min="15360" max="15360" width="15.42578125" style="1" customWidth="1"/>
    <col min="15361" max="15363" width="12.85546875" style="1" customWidth="1"/>
    <col min="15364" max="15364" width="8.7109375" style="1"/>
    <col min="15365" max="15365" width="15.42578125" style="1" customWidth="1"/>
    <col min="15366" max="15366" width="8.7109375" style="1"/>
    <col min="15367" max="15367" width="9.7109375" style="1" customWidth="1"/>
    <col min="15368" max="15613" width="8.7109375" style="1"/>
    <col min="15614" max="15614" width="12.28515625" style="1" customWidth="1"/>
    <col min="15615" max="15615" width="21" style="1" customWidth="1"/>
    <col min="15616" max="15616" width="15.42578125" style="1" customWidth="1"/>
    <col min="15617" max="15619" width="12.85546875" style="1" customWidth="1"/>
    <col min="15620" max="15620" width="8.7109375" style="1"/>
    <col min="15621" max="15621" width="15.42578125" style="1" customWidth="1"/>
    <col min="15622" max="15622" width="8.7109375" style="1"/>
    <col min="15623" max="15623" width="9.7109375" style="1" customWidth="1"/>
    <col min="15624" max="15869" width="8.7109375" style="1"/>
    <col min="15870" max="15870" width="12.28515625" style="1" customWidth="1"/>
    <col min="15871" max="15871" width="21" style="1" customWidth="1"/>
    <col min="15872" max="15872" width="15.42578125" style="1" customWidth="1"/>
    <col min="15873" max="15875" width="12.85546875" style="1" customWidth="1"/>
    <col min="15876" max="15876" width="8.7109375" style="1"/>
    <col min="15877" max="15877" width="15.42578125" style="1" customWidth="1"/>
    <col min="15878" max="15878" width="8.7109375" style="1"/>
    <col min="15879" max="15879" width="9.7109375" style="1" customWidth="1"/>
    <col min="15880" max="16125" width="8.7109375" style="1"/>
    <col min="16126" max="16126" width="12.28515625" style="1" customWidth="1"/>
    <col min="16127" max="16127" width="21" style="1" customWidth="1"/>
    <col min="16128" max="16128" width="15.42578125" style="1" customWidth="1"/>
    <col min="16129" max="16131" width="12.85546875" style="1" customWidth="1"/>
    <col min="16132" max="16132" width="8.7109375" style="1"/>
    <col min="16133" max="16133" width="15.42578125" style="1" customWidth="1"/>
    <col min="16134" max="16134" width="8.7109375" style="1"/>
    <col min="16135" max="16135" width="9.7109375" style="1" customWidth="1"/>
    <col min="16136" max="16384" width="8.7109375" style="1"/>
  </cols>
  <sheetData>
    <row r="1" spans="1:7" s="37" customFormat="1" ht="18" x14ac:dyDescent="0.2">
      <c r="A1" s="38" t="s">
        <v>36</v>
      </c>
      <c r="B1" s="69"/>
      <c r="C1" s="39"/>
      <c r="D1" s="39"/>
      <c r="E1" s="39"/>
      <c r="F1" s="21"/>
      <c r="G1" s="21"/>
    </row>
    <row r="2" spans="1:7" ht="18" x14ac:dyDescent="0.25">
      <c r="A2" s="325" t="s">
        <v>216</v>
      </c>
      <c r="B2" s="326"/>
      <c r="C2" s="326"/>
      <c r="D2" s="326"/>
      <c r="E2" s="326"/>
    </row>
    <row r="3" spans="1:7" ht="15.75" x14ac:dyDescent="0.2">
      <c r="A3" s="120"/>
    </row>
    <row r="4" spans="1:7" ht="79.5" customHeight="1" x14ac:dyDescent="0.2">
      <c r="A4" s="327" t="s">
        <v>217</v>
      </c>
      <c r="B4" s="328"/>
      <c r="C4" s="328"/>
      <c r="D4" s="328"/>
      <c r="E4" s="328"/>
    </row>
    <row r="5" spans="1:7" ht="15" x14ac:dyDescent="0.2">
      <c r="A5" s="121"/>
      <c r="B5" s="122"/>
      <c r="C5" s="122"/>
      <c r="D5" s="122"/>
      <c r="E5" s="122"/>
    </row>
    <row r="6" spans="1:7" ht="45" x14ac:dyDescent="0.25">
      <c r="A6" s="329" t="s">
        <v>218</v>
      </c>
      <c r="B6" s="330"/>
      <c r="C6" s="161" t="s">
        <v>219</v>
      </c>
      <c r="D6" s="161" t="s">
        <v>220</v>
      </c>
      <c r="E6" s="123" t="s">
        <v>221</v>
      </c>
    </row>
    <row r="7" spans="1:7" ht="15" x14ac:dyDescent="0.25">
      <c r="A7" s="124" t="s">
        <v>222</v>
      </c>
      <c r="B7" s="125"/>
      <c r="C7" s="124"/>
      <c r="D7" s="124"/>
      <c r="E7" s="124"/>
    </row>
    <row r="8" spans="1:7" ht="15" x14ac:dyDescent="0.25">
      <c r="A8" s="126" t="s">
        <v>61</v>
      </c>
      <c r="B8" s="126" t="s">
        <v>223</v>
      </c>
      <c r="C8" s="113">
        <v>10000</v>
      </c>
      <c r="D8" s="113">
        <v>15000</v>
      </c>
      <c r="E8" s="124"/>
    </row>
    <row r="9" spans="1:7" ht="15" x14ac:dyDescent="0.25">
      <c r="A9" s="127"/>
      <c r="B9" s="128"/>
      <c r="C9" s="128"/>
      <c r="E9" s="129"/>
    </row>
    <row r="10" spans="1:7" ht="15" x14ac:dyDescent="0.25">
      <c r="A10" s="331" t="s">
        <v>143</v>
      </c>
      <c r="B10" s="332"/>
      <c r="C10" s="332"/>
      <c r="D10" s="332"/>
      <c r="E10" s="332"/>
    </row>
    <row r="11" spans="1:7" ht="14.25" x14ac:dyDescent="0.2">
      <c r="A11" s="130" t="s">
        <v>224</v>
      </c>
      <c r="B11" s="130" t="s">
        <v>225</v>
      </c>
      <c r="C11" s="114">
        <v>1125416</v>
      </c>
      <c r="D11" s="114">
        <v>1187140</v>
      </c>
      <c r="E11" s="131"/>
    </row>
    <row r="12" spans="1:7" ht="14.25" x14ac:dyDescent="0.2">
      <c r="A12" s="130" t="s">
        <v>226</v>
      </c>
      <c r="B12" s="130" t="s">
        <v>227</v>
      </c>
      <c r="C12" s="114">
        <f>2583365-175000</f>
        <v>2408365</v>
      </c>
      <c r="D12" s="114">
        <v>2203958</v>
      </c>
      <c r="E12" s="131"/>
    </row>
    <row r="13" spans="1:7" ht="14.25" x14ac:dyDescent="0.2">
      <c r="A13" s="130" t="s">
        <v>228</v>
      </c>
      <c r="B13" s="130" t="s">
        <v>229</v>
      </c>
      <c r="C13" s="114">
        <v>134284</v>
      </c>
      <c r="D13" s="114">
        <v>0</v>
      </c>
      <c r="E13" s="131"/>
    </row>
    <row r="14" spans="1:7" ht="14.25" x14ac:dyDescent="0.2">
      <c r="A14" s="130" t="s">
        <v>61</v>
      </c>
      <c r="B14" s="130" t="s">
        <v>230</v>
      </c>
      <c r="C14" s="114">
        <v>175000</v>
      </c>
      <c r="D14" s="114">
        <v>225000</v>
      </c>
      <c r="E14" s="132"/>
    </row>
    <row r="15" spans="1:7" ht="14.25" x14ac:dyDescent="0.2">
      <c r="A15" s="133"/>
      <c r="B15" s="133"/>
      <c r="C15" s="133"/>
      <c r="D15" s="134"/>
      <c r="E15" s="135"/>
    </row>
    <row r="16" spans="1:7" ht="15" x14ac:dyDescent="0.25">
      <c r="A16" s="331" t="s">
        <v>144</v>
      </c>
      <c r="B16" s="332"/>
      <c r="C16" s="332"/>
      <c r="D16" s="332"/>
      <c r="E16" s="332"/>
    </row>
    <row r="17" spans="1:5" ht="14.25" x14ac:dyDescent="0.2">
      <c r="B17" s="130" t="s">
        <v>231</v>
      </c>
      <c r="C17" s="114">
        <v>200000</v>
      </c>
      <c r="D17" s="114">
        <v>100000</v>
      </c>
      <c r="E17" s="131"/>
    </row>
    <row r="18" spans="1:5" ht="14.25" x14ac:dyDescent="0.2">
      <c r="B18" s="130" t="s">
        <v>232</v>
      </c>
      <c r="C18" s="114"/>
      <c r="D18" s="114">
        <v>50000</v>
      </c>
      <c r="E18" s="131"/>
    </row>
    <row r="19" spans="1:5" ht="14.25" x14ac:dyDescent="0.2">
      <c r="B19" s="130" t="s">
        <v>233</v>
      </c>
      <c r="C19" s="114">
        <v>0</v>
      </c>
      <c r="D19" s="114">
        <v>50000</v>
      </c>
      <c r="E19" s="131"/>
    </row>
    <row r="20" spans="1:5" ht="14.25" x14ac:dyDescent="0.2">
      <c r="B20" s="130" t="s">
        <v>234</v>
      </c>
      <c r="C20" s="114">
        <v>0</v>
      </c>
      <c r="D20" s="114">
        <f>27500+22500</f>
        <v>50000</v>
      </c>
      <c r="E20" s="132"/>
    </row>
    <row r="21" spans="1:5" ht="14.25" x14ac:dyDescent="0.2">
      <c r="A21" s="133"/>
      <c r="B21" s="133"/>
      <c r="C21" s="133"/>
      <c r="D21" s="134"/>
      <c r="E21" s="135"/>
    </row>
    <row r="22" spans="1:5" ht="15" x14ac:dyDescent="0.25">
      <c r="A22" s="331" t="s">
        <v>145</v>
      </c>
      <c r="B22" s="332"/>
      <c r="C22" s="332"/>
      <c r="D22" s="332"/>
      <c r="E22" s="332"/>
    </row>
    <row r="23" spans="1:5" ht="14.25" x14ac:dyDescent="0.2">
      <c r="B23" s="130" t="s">
        <v>235</v>
      </c>
      <c r="C23" s="114">
        <v>306367</v>
      </c>
      <c r="D23" s="114">
        <v>250000</v>
      </c>
      <c r="E23" s="131"/>
    </row>
    <row r="24" spans="1:5" ht="14.25" x14ac:dyDescent="0.2">
      <c r="B24" s="130" t="s">
        <v>136</v>
      </c>
      <c r="C24" s="114">
        <v>0</v>
      </c>
      <c r="D24" s="114">
        <v>0</v>
      </c>
      <c r="E24" s="132"/>
    </row>
    <row r="25" spans="1:5" ht="14.25" x14ac:dyDescent="0.2">
      <c r="A25" s="133"/>
      <c r="B25" s="133"/>
      <c r="C25" s="133"/>
      <c r="D25" s="134"/>
      <c r="E25" s="135"/>
    </row>
    <row r="26" spans="1:5" ht="15" x14ac:dyDescent="0.25">
      <c r="A26" s="331" t="s">
        <v>146</v>
      </c>
      <c r="B26" s="332"/>
      <c r="C26" s="332"/>
      <c r="D26" s="332"/>
      <c r="E26" s="332"/>
    </row>
    <row r="27" spans="1:5" ht="14.25" x14ac:dyDescent="0.2">
      <c r="B27" s="130" t="s">
        <v>136</v>
      </c>
      <c r="C27" s="114">
        <v>0</v>
      </c>
      <c r="D27" s="114">
        <v>0</v>
      </c>
      <c r="E27" s="131"/>
    </row>
    <row r="28" spans="1:5" ht="14.25" x14ac:dyDescent="0.2">
      <c r="B28" s="130" t="s">
        <v>136</v>
      </c>
      <c r="C28" s="114">
        <v>0</v>
      </c>
      <c r="D28" s="114">
        <v>0</v>
      </c>
      <c r="E28" s="132"/>
    </row>
    <row r="29" spans="1:5" ht="14.25" x14ac:dyDescent="0.2">
      <c r="A29" s="133"/>
      <c r="B29" s="133"/>
      <c r="C29" s="133"/>
      <c r="D29" s="134"/>
      <c r="E29" s="135"/>
    </row>
    <row r="30" spans="1:5" ht="15" x14ac:dyDescent="0.25">
      <c r="A30" s="331" t="s">
        <v>147</v>
      </c>
      <c r="B30" s="332"/>
      <c r="C30" s="332"/>
      <c r="D30" s="332"/>
      <c r="E30" s="332"/>
    </row>
    <row r="31" spans="1:5" ht="14.25" x14ac:dyDescent="0.2">
      <c r="B31" s="130" t="s">
        <v>236</v>
      </c>
      <c r="C31" s="114">
        <v>535000</v>
      </c>
      <c r="D31" s="114">
        <v>550000</v>
      </c>
      <c r="E31" s="131"/>
    </row>
    <row r="32" spans="1:5" ht="14.25" x14ac:dyDescent="0.2">
      <c r="B32" s="130" t="s">
        <v>237</v>
      </c>
      <c r="C32" s="114">
        <v>27000</v>
      </c>
      <c r="D32" s="114">
        <v>25000</v>
      </c>
      <c r="E32" s="131"/>
    </row>
    <row r="33" spans="1:5" ht="14.25" x14ac:dyDescent="0.2">
      <c r="B33" s="130" t="s">
        <v>238</v>
      </c>
      <c r="C33" s="114">
        <v>114400</v>
      </c>
      <c r="D33" s="114">
        <v>100000</v>
      </c>
      <c r="E33" s="132"/>
    </row>
    <row r="34" spans="1:5" ht="14.25" x14ac:dyDescent="0.2">
      <c r="A34" s="133"/>
      <c r="B34" s="133"/>
      <c r="C34" s="133"/>
      <c r="D34" s="134"/>
      <c r="E34" s="135"/>
    </row>
    <row r="35" spans="1:5" ht="15" x14ac:dyDescent="0.25">
      <c r="A35" s="331" t="s">
        <v>149</v>
      </c>
      <c r="B35" s="332"/>
      <c r="C35" s="332"/>
      <c r="D35" s="332"/>
      <c r="E35" s="332"/>
    </row>
    <row r="36" spans="1:5" ht="14.25" x14ac:dyDescent="0.2">
      <c r="B36" s="130" t="s">
        <v>136</v>
      </c>
      <c r="C36" s="114">
        <v>0</v>
      </c>
      <c r="D36" s="114">
        <v>0</v>
      </c>
      <c r="E36" s="131"/>
    </row>
    <row r="37" spans="1:5" ht="14.25" x14ac:dyDescent="0.2">
      <c r="B37" s="130" t="s">
        <v>136</v>
      </c>
      <c r="C37" s="114">
        <v>0</v>
      </c>
      <c r="D37" s="114">
        <v>0</v>
      </c>
      <c r="E37" s="132"/>
    </row>
    <row r="38" spans="1:5" x14ac:dyDescent="0.2">
      <c r="A38" s="136"/>
      <c r="B38" s="136"/>
      <c r="C38" s="136"/>
      <c r="D38" s="136"/>
      <c r="E38" s="137"/>
    </row>
    <row r="39" spans="1:5" ht="15" x14ac:dyDescent="0.25">
      <c r="A39" s="331" t="s">
        <v>150</v>
      </c>
      <c r="B39" s="331"/>
      <c r="C39" s="138">
        <f>SUM(C10:C38)</f>
        <v>5025832</v>
      </c>
      <c r="D39" s="138">
        <f>SUM(D10:D38)</f>
        <v>4791098</v>
      </c>
      <c r="E39" s="139"/>
    </row>
    <row r="40" spans="1:5" x14ac:dyDescent="0.2">
      <c r="A40" s="140"/>
      <c r="B40" s="140"/>
      <c r="C40" s="140"/>
      <c r="D40" s="140"/>
      <c r="E40" s="140"/>
    </row>
    <row r="41" spans="1:5" x14ac:dyDescent="0.2">
      <c r="A41" s="333"/>
      <c r="B41" s="332"/>
      <c r="C41" s="332"/>
      <c r="D41" s="332"/>
      <c r="E41" s="332"/>
    </row>
  </sheetData>
  <sheetProtection algorithmName="SHA-512" hashValue="fAgy0EYP3SwlHE8EpcxjCAMfkObPAtoSU5rWGlZZQJLBY+aol3nPyGVPfvNBTJF/q0dm75CcbWCYNA//S9XNIA==" saltValue="37ZQQeWSWuBKG1BLJ16wSw==" spinCount="100000" sheet="1" objects="1" scenarios="1"/>
  <mergeCells count="11">
    <mergeCell ref="A41:E41"/>
    <mergeCell ref="A16:E16"/>
    <mergeCell ref="A22:E22"/>
    <mergeCell ref="A26:E26"/>
    <mergeCell ref="A30:E30"/>
    <mergeCell ref="A35:E35"/>
    <mergeCell ref="A2:E2"/>
    <mergeCell ref="A4:E4"/>
    <mergeCell ref="A6:B6"/>
    <mergeCell ref="A10:E10"/>
    <mergeCell ref="A39:B39"/>
  </mergeCells>
  <pageMargins left="0.75" right="0.75" top="1" bottom="0.90849999999999997" header="0.5" footer="0.5"/>
  <pageSetup scale="78" firstPageNumber="8" orientation="portrait" r:id="rId1"/>
  <headerFooter alignWithMargins="0">
    <oddFooter>&amp;LCity of Santa Monica
Exhibit C – Program Budget
&amp;C&amp;P&amp;RFiscal Year 2020-21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FE95CA65-2F8C-47D8-9B2C-29BF22D8D5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2023-11-28T22:02:42Z</cp:lastPrinted>
  <dcterms:created xsi:type="dcterms:W3CDTF">1999-10-15T17:33:56Z</dcterms:created>
  <dcterms:modified xsi:type="dcterms:W3CDTF">2023-11-28T22:02:46Z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