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46" documentId="11_9AF6DB92F07C13A9A637AA430599683EC5A8C934" xr6:coauthVersionLast="46" xr6:coauthVersionMax="47" xr10:uidLastSave="{F7DFD78C-D318-4F6B-B555-66215BFBA853}"/>
  <workbookProtection workbookAlgorithmName="SHA-512" workbookHashValue="9QQ8VysT2F1lfxx4EGKLthsfEK/LsokuQSXXp+eJZywy1QXz5cD2BsiTyw0R3Y9t8JrZ8fP4tDks/Eg9vife0Q==" workbookSaltValue="R3Hjw4QirH3+jaDhknH7e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SOURCES'!$A$1:$E$41</definedName>
    <definedName name="_xlnm.Print_Area" localSheetId="1">'PROGRAM BUDGET &amp; FISCAL REPORT'!$A$1:$N$142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9" i="19" l="1"/>
  <c r="J39" i="19"/>
  <c r="J42" i="19" s="1"/>
  <c r="H39" i="19"/>
  <c r="G39" i="19"/>
  <c r="N37" i="19"/>
  <c r="J37" i="19"/>
  <c r="H37" i="19"/>
  <c r="G37" i="19"/>
  <c r="N29" i="19"/>
  <c r="J29" i="19"/>
  <c r="H29" i="19"/>
  <c r="H42" i="19" s="1"/>
  <c r="D39" i="19"/>
  <c r="D37" i="19"/>
  <c r="D29" i="19"/>
  <c r="N61" i="19"/>
  <c r="K35" i="19"/>
  <c r="K28" i="19"/>
  <c r="D42" i="19" l="1"/>
  <c r="N42" i="19"/>
  <c r="K50" i="19"/>
  <c r="K71" i="19"/>
  <c r="K79" i="19"/>
  <c r="K70" i="19"/>
  <c r="K60" i="19"/>
  <c r="K51" i="19"/>
  <c r="K49" i="19"/>
  <c r="K48" i="19"/>
  <c r="K47" i="19"/>
  <c r="J134" i="19"/>
  <c r="J76" i="19" l="1"/>
  <c r="K76" i="19" s="1"/>
  <c r="J31" i="19" l="1"/>
  <c r="K31" i="19" s="1"/>
  <c r="J28" i="19" l="1"/>
  <c r="J36" i="19"/>
  <c r="K36" i="19" s="1"/>
  <c r="J34" i="19"/>
  <c r="J38" i="19"/>
  <c r="K38" i="19" s="1"/>
  <c r="K39" i="19" s="1"/>
  <c r="J27" i="19"/>
  <c r="K27" i="19" s="1"/>
  <c r="K29" i="19" s="1"/>
  <c r="J30" i="19"/>
  <c r="J33" i="19"/>
  <c r="K33" i="19" s="1"/>
  <c r="J35" i="19"/>
  <c r="J32" i="19"/>
  <c r="K32" i="19" s="1"/>
  <c r="K34" i="19" l="1"/>
  <c r="K30" i="19"/>
  <c r="K37" i="19" s="1"/>
  <c r="K42" i="19" s="1"/>
  <c r="N93" i="19"/>
  <c r="N92" i="19"/>
  <c r="N52" i="19"/>
  <c r="J110" i="19"/>
  <c r="K110" i="19" s="1"/>
  <c r="J84" i="19"/>
  <c r="J83" i="19"/>
  <c r="J82" i="19"/>
  <c r="K82" i="19" s="1"/>
  <c r="J81" i="19"/>
  <c r="J80" i="19"/>
  <c r="J79" i="19"/>
  <c r="J78" i="19"/>
  <c r="K78" i="19" s="1"/>
  <c r="J77" i="19"/>
  <c r="K77" i="19" s="1"/>
  <c r="J74" i="19"/>
  <c r="J73" i="19"/>
  <c r="J72" i="19"/>
  <c r="K72" i="19" s="1"/>
  <c r="J61" i="19"/>
  <c r="K61" i="19" s="1"/>
  <c r="J59" i="19"/>
  <c r="K59" i="19" s="1"/>
  <c r="K81" i="19" l="1"/>
  <c r="K73" i="19"/>
  <c r="K83" i="19"/>
  <c r="K74" i="19"/>
  <c r="K80" i="19"/>
  <c r="K84" i="19"/>
  <c r="L85" i="19"/>
  <c r="M85" i="19" s="1"/>
  <c r="I85" i="19"/>
  <c r="G77" i="19"/>
  <c r="G73" i="19"/>
  <c r="G60" i="19"/>
  <c r="G59" i="19"/>
  <c r="H71" i="19" l="1"/>
  <c r="G71" i="19"/>
  <c r="C12" i="30" l="1"/>
  <c r="H60" i="19" l="1"/>
  <c r="G70" i="19"/>
  <c r="D20" i="30" l="1"/>
  <c r="G28" i="19" l="1"/>
  <c r="G27" i="19"/>
  <c r="G29" i="19" s="1"/>
  <c r="G42" i="19" s="1"/>
  <c r="H78" i="19" l="1"/>
  <c r="G75" i="19"/>
  <c r="D23" i="26" l="1"/>
  <c r="C23" i="26"/>
  <c r="B23" i="26"/>
  <c r="K139" i="19"/>
  <c r="J139" i="19"/>
  <c r="I139" i="19"/>
  <c r="C4" i="14"/>
  <c r="C3" i="14"/>
  <c r="N95" i="19"/>
  <c r="I47" i="26" l="1"/>
  <c r="E47" i="26"/>
  <c r="L36" i="19" l="1"/>
  <c r="M36" i="19" s="1"/>
  <c r="I36" i="19"/>
  <c r="C39" i="30" l="1"/>
  <c r="D39" i="30"/>
  <c r="D13" i="19" l="1"/>
  <c r="D12" i="19"/>
  <c r="D11" i="19"/>
  <c r="D10" i="19"/>
  <c r="D9" i="19"/>
  <c r="L138" i="19" l="1"/>
  <c r="L137" i="19"/>
  <c r="L135" i="19"/>
  <c r="L134" i="19"/>
  <c r="L132" i="19"/>
  <c r="L131" i="19"/>
  <c r="L129" i="19"/>
  <c r="L128" i="19"/>
  <c r="L126" i="19"/>
  <c r="L125" i="19"/>
  <c r="L123" i="19"/>
  <c r="L122" i="19"/>
  <c r="D8" i="19"/>
  <c r="D7" i="19"/>
  <c r="D6" i="19"/>
  <c r="L139" i="19" l="1"/>
  <c r="H47" i="26"/>
  <c r="G47" i="26"/>
  <c r="F47" i="26"/>
  <c r="C8" i="14"/>
  <c r="C7" i="14"/>
  <c r="N112" i="19"/>
  <c r="K112" i="19"/>
  <c r="J112" i="19"/>
  <c r="F111" i="19"/>
  <c r="L111" i="19"/>
  <c r="M111" i="19" s="1"/>
  <c r="I111" i="19"/>
  <c r="H110" i="19"/>
  <c r="E7" i="14"/>
  <c r="I102" i="19"/>
  <c r="I101" i="19"/>
  <c r="I100" i="19"/>
  <c r="I94" i="19"/>
  <c r="I93" i="19"/>
  <c r="I92" i="19"/>
  <c r="I86" i="19"/>
  <c r="I84" i="19"/>
  <c r="I83" i="19"/>
  <c r="I82" i="19"/>
  <c r="I81" i="19"/>
  <c r="I80" i="19"/>
  <c r="I79" i="19"/>
  <c r="I78" i="19"/>
  <c r="I77" i="19"/>
  <c r="I76" i="19"/>
  <c r="I75" i="19"/>
  <c r="I74" i="19"/>
  <c r="I73" i="19"/>
  <c r="I72" i="19"/>
  <c r="I71" i="19"/>
  <c r="I70" i="19"/>
  <c r="L102" i="19"/>
  <c r="M102" i="19" s="1"/>
  <c r="L101" i="19"/>
  <c r="M101" i="19" s="1"/>
  <c r="L94" i="19"/>
  <c r="M94" i="19" s="1"/>
  <c r="L93" i="19"/>
  <c r="M93" i="19" s="1"/>
  <c r="L82" i="19"/>
  <c r="M82" i="19" s="1"/>
  <c r="L81" i="19"/>
  <c r="M81" i="19" s="1"/>
  <c r="L80" i="19"/>
  <c r="M80" i="19" s="1"/>
  <c r="L79" i="19"/>
  <c r="M79" i="19" s="1"/>
  <c r="L78" i="19"/>
  <c r="M78" i="19" s="1"/>
  <c r="L77" i="19"/>
  <c r="M77" i="19" s="1"/>
  <c r="L76" i="19"/>
  <c r="M76" i="19" s="1"/>
  <c r="L75" i="19"/>
  <c r="M75" i="19" s="1"/>
  <c r="L74" i="19"/>
  <c r="M74" i="19" s="1"/>
  <c r="L73" i="19"/>
  <c r="M73" i="19" s="1"/>
  <c r="L72" i="19"/>
  <c r="M72" i="19" s="1"/>
  <c r="I60" i="19"/>
  <c r="L60" i="19"/>
  <c r="M60" i="19" s="1"/>
  <c r="I61" i="19"/>
  <c r="L61" i="19"/>
  <c r="M61" i="19" s="1"/>
  <c r="I62" i="19"/>
  <c r="L62" i="19"/>
  <c r="M62" i="19" s="1"/>
  <c r="I63" i="19"/>
  <c r="L63" i="19"/>
  <c r="M63" i="19" s="1"/>
  <c r="I64" i="19"/>
  <c r="L64" i="19"/>
  <c r="M64" i="19" s="1"/>
  <c r="L48" i="19"/>
  <c r="L49" i="19"/>
  <c r="L50" i="19"/>
  <c r="L51" i="19"/>
  <c r="I52" i="19"/>
  <c r="L52" i="19"/>
  <c r="M52" i="19" s="1"/>
  <c r="I53" i="19"/>
  <c r="L53" i="19"/>
  <c r="M53" i="19" s="1"/>
  <c r="I27" i="19"/>
  <c r="I29" i="19" s="1"/>
  <c r="E8" i="14"/>
  <c r="I41" i="19"/>
  <c r="I40" i="19"/>
  <c r="I38" i="19"/>
  <c r="I39" i="19" s="1"/>
  <c r="I35" i="19"/>
  <c r="I34" i="19"/>
  <c r="I33" i="19"/>
  <c r="I32" i="19"/>
  <c r="I31" i="19"/>
  <c r="I30" i="19"/>
  <c r="I37" i="19" s="1"/>
  <c r="I28" i="19"/>
  <c r="G87" i="19"/>
  <c r="G9" i="19" s="1"/>
  <c r="L86" i="19"/>
  <c r="M86" i="19" s="1"/>
  <c r="L84" i="19"/>
  <c r="M84" i="19" s="1"/>
  <c r="L83" i="19"/>
  <c r="M83" i="19" s="1"/>
  <c r="L41" i="19"/>
  <c r="M41" i="19" s="1"/>
  <c r="L40" i="19"/>
  <c r="M40" i="19" s="1"/>
  <c r="L38" i="19"/>
  <c r="L35" i="19"/>
  <c r="M35" i="19" s="1"/>
  <c r="L34" i="19"/>
  <c r="M34" i="19" s="1"/>
  <c r="L33" i="19"/>
  <c r="M33" i="19" s="1"/>
  <c r="N6" i="19"/>
  <c r="N54" i="19"/>
  <c r="N7" i="19" s="1"/>
  <c r="N65" i="19"/>
  <c r="N8" i="19" s="1"/>
  <c r="N87" i="19"/>
  <c r="N9" i="19" s="1"/>
  <c r="J95" i="19"/>
  <c r="J10" i="19" s="1"/>
  <c r="K95" i="19"/>
  <c r="K10" i="19" s="1"/>
  <c r="N103" i="19"/>
  <c r="N11" i="19" s="1"/>
  <c r="L27" i="19"/>
  <c r="L28" i="19"/>
  <c r="M28" i="19" s="1"/>
  <c r="L30" i="19"/>
  <c r="L31" i="19"/>
  <c r="M31" i="19" s="1"/>
  <c r="L32" i="19"/>
  <c r="M32" i="19" s="1"/>
  <c r="L47" i="19"/>
  <c r="J6" i="19"/>
  <c r="D47" i="26"/>
  <c r="C47" i="26"/>
  <c r="B47" i="26"/>
  <c r="D32" i="26"/>
  <c r="C32" i="26"/>
  <c r="B32" i="26"/>
  <c r="B4" i="14"/>
  <c r="B3" i="14"/>
  <c r="G65" i="19"/>
  <c r="G8" i="19" s="1"/>
  <c r="G95" i="19"/>
  <c r="G10" i="19" s="1"/>
  <c r="G103" i="19"/>
  <c r="G11" i="19" s="1"/>
  <c r="H65" i="19"/>
  <c r="H8" i="19" s="1"/>
  <c r="H87" i="19"/>
  <c r="H9" i="19" s="1"/>
  <c r="H95" i="19"/>
  <c r="H10" i="19" s="1"/>
  <c r="H103" i="19"/>
  <c r="H11" i="19" s="1"/>
  <c r="L59" i="19"/>
  <c r="M59" i="19" s="1"/>
  <c r="I59" i="19"/>
  <c r="L71" i="19"/>
  <c r="M71" i="19" s="1"/>
  <c r="L110" i="19"/>
  <c r="K103" i="19"/>
  <c r="K11" i="19" s="1"/>
  <c r="J103" i="19"/>
  <c r="J11" i="19" s="1"/>
  <c r="L100" i="19"/>
  <c r="M100" i="19" s="1"/>
  <c r="L92" i="19"/>
  <c r="M92" i="19" s="1"/>
  <c r="L70" i="19"/>
  <c r="M70" i="19" s="1"/>
  <c r="K87" i="19"/>
  <c r="K9" i="19" s="1"/>
  <c r="J87" i="19"/>
  <c r="J9" i="19" s="1"/>
  <c r="K65" i="19"/>
  <c r="K8" i="19" s="1"/>
  <c r="J65" i="19"/>
  <c r="J8" i="19" s="1"/>
  <c r="K54" i="19"/>
  <c r="K7" i="19" s="1"/>
  <c r="J54" i="19"/>
  <c r="J7" i="19" s="1"/>
  <c r="K6" i="19"/>
  <c r="M38" i="19" l="1"/>
  <c r="L39" i="19"/>
  <c r="M39" i="19" s="1"/>
  <c r="I42" i="19"/>
  <c r="M30" i="19"/>
  <c r="L37" i="19"/>
  <c r="M37" i="19" s="1"/>
  <c r="M27" i="19"/>
  <c r="L29" i="19"/>
  <c r="H6" i="19"/>
  <c r="H112" i="19"/>
  <c r="H47" i="19"/>
  <c r="M47" i="19" s="1"/>
  <c r="H51" i="19"/>
  <c r="M51" i="19" s="1"/>
  <c r="H50" i="19"/>
  <c r="M50" i="19" s="1"/>
  <c r="H49" i="19"/>
  <c r="M49" i="19" s="1"/>
  <c r="H48" i="19"/>
  <c r="M48" i="19" s="1"/>
  <c r="G6" i="19"/>
  <c r="G50" i="19"/>
  <c r="G47" i="19"/>
  <c r="G110" i="19"/>
  <c r="G51" i="19"/>
  <c r="G48" i="19"/>
  <c r="G49" i="19"/>
  <c r="N12" i="19"/>
  <c r="J12" i="19"/>
  <c r="J114" i="19"/>
  <c r="J13" i="19" s="1"/>
  <c r="K12" i="19"/>
  <c r="K114" i="19"/>
  <c r="K13" i="19" s="1"/>
  <c r="E9" i="14"/>
  <c r="C9" i="14"/>
  <c r="I87" i="19"/>
  <c r="I9" i="19" s="1"/>
  <c r="I95" i="19"/>
  <c r="I10" i="19" s="1"/>
  <c r="N10" i="19"/>
  <c r="I65" i="19"/>
  <c r="I8" i="19" s="1"/>
  <c r="I6" i="19"/>
  <c r="L54" i="19"/>
  <c r="I103" i="19"/>
  <c r="L87" i="19"/>
  <c r="L112" i="19"/>
  <c r="L12" i="19" s="1"/>
  <c r="L65" i="19"/>
  <c r="M65" i="19" s="1"/>
  <c r="L95" i="19"/>
  <c r="L10" i="19" s="1"/>
  <c r="M10" i="19" s="1"/>
  <c r="L103" i="19"/>
  <c r="M29" i="19" l="1"/>
  <c r="L42" i="19"/>
  <c r="L6" i="19" s="1"/>
  <c r="I49" i="19"/>
  <c r="I48" i="19"/>
  <c r="I51" i="19"/>
  <c r="H12" i="19"/>
  <c r="M12" i="19" s="1"/>
  <c r="M110" i="19"/>
  <c r="I50" i="19"/>
  <c r="H54" i="19"/>
  <c r="H7" i="19" s="1"/>
  <c r="I110" i="19"/>
  <c r="I112" i="19" s="1"/>
  <c r="I12" i="19" s="1"/>
  <c r="G112" i="19"/>
  <c r="G54" i="19"/>
  <c r="G7" i="19" s="1"/>
  <c r="I47" i="19"/>
  <c r="N114" i="19"/>
  <c r="N13" i="19" s="1"/>
  <c r="I11" i="19"/>
  <c r="M103" i="19"/>
  <c r="L114" i="19"/>
  <c r="L13" i="19" s="1"/>
  <c r="L11" i="19"/>
  <c r="M11" i="19" s="1"/>
  <c r="M87" i="19"/>
  <c r="L9" i="19"/>
  <c r="M9" i="19" s="1"/>
  <c r="L7" i="19"/>
  <c r="M42" i="19"/>
  <c r="M95" i="19"/>
  <c r="L8" i="19"/>
  <c r="M8" i="19" s="1"/>
  <c r="M112" i="19"/>
  <c r="M6" i="19"/>
  <c r="B14" i="19" l="1"/>
  <c r="M139" i="19"/>
  <c r="I54" i="19"/>
  <c r="M7" i="19"/>
  <c r="M54" i="19"/>
  <c r="H114" i="19"/>
  <c r="M114" i="19" s="1"/>
  <c r="G114" i="19"/>
  <c r="G13" i="19" s="1"/>
  <c r="G12" i="19"/>
  <c r="C50" i="26"/>
  <c r="E12" i="14"/>
  <c r="E15" i="14" s="1"/>
  <c r="F15" i="14" s="1"/>
  <c r="F12" i="14"/>
  <c r="I7" i="19" l="1"/>
  <c r="I114" i="19"/>
  <c r="I13" i="19" s="1"/>
  <c r="H13" i="19"/>
  <c r="F110" i="19"/>
  <c r="B50" i="26"/>
  <c r="C12" i="14"/>
  <c r="C15" i="14" s="1"/>
  <c r="E16" i="14"/>
  <c r="E18" i="14" s="1"/>
  <c r="N139" i="19"/>
  <c r="B15" i="19"/>
  <c r="D12" i="14" l="1"/>
  <c r="C16" i="14" s="1"/>
  <c r="D16" i="14" s="1"/>
  <c r="M13" i="19"/>
  <c r="D15" i="14"/>
  <c r="F16" i="14"/>
  <c r="F18" i="14"/>
  <c r="C18" i="14" l="1"/>
  <c r="D18" i="14" s="1"/>
</calcChain>
</file>

<file path=xl/sharedStrings.xml><?xml version="1.0" encoding="utf-8"?>
<sst xmlns="http://schemas.openxmlformats.org/spreadsheetml/2006/main" count="357" uniqueCount="242">
  <si>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</si>
  <si>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</si>
  <si>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</si>
  <si>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</si>
  <si>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</si>
  <si>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</si>
  <si>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</si>
  <si>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</si>
  <si>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</si>
  <si>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</si>
  <si>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</si>
  <si>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</si>
  <si>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</si>
  <si>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</si>
  <si>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</si>
  <si>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</si>
  <si>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</si>
  <si>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</si>
  <si>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</si>
  <si>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</si>
  <si>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</si>
  <si>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</si>
  <si>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</si>
  <si>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</si>
  <si>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</si>
  <si>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</si>
  <si>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</si>
  <si>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</si>
  <si>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</si>
  <si>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</si>
  <si>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</si>
  <si>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</si>
  <si>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</si>
  <si>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</si>
  <si>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</si>
  <si>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</si>
  <si>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</si>
  <si>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</si>
  <si>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</si>
  <si>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</si>
  <si>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</si>
  <si>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</si>
  <si>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</si>
  <si>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</si>
  <si>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</si>
  <si>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</si>
  <si>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</si>
  <si>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</si>
  <si>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WISE &amp; Healthy Aging</t>
  </si>
  <si>
    <t>PROGRAM NAME:</t>
  </si>
  <si>
    <t xml:space="preserve">WISE Diner </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</si>
  <si>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</si>
  <si>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</si>
  <si>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</si>
  <si>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</si>
  <si>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</si>
  <si>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</si>
  <si>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</si>
  <si>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</si>
  <si>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</si>
  <si>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</si>
  <si>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</si>
  <si>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</si>
  <si>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</si>
  <si>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</si>
  <si>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</si>
  <si>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</si>
  <si>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</si>
  <si>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</si>
  <si>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</si>
  <si>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</si>
  <si>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Nikki Davis</t>
  </si>
  <si>
    <t>VP of Program Administration</t>
  </si>
  <si>
    <t>Cindy Muro</t>
  </si>
  <si>
    <t>Member Services Manager</t>
  </si>
  <si>
    <t>Eva Jimenez</t>
  </si>
  <si>
    <t>Nutrition Supervisor</t>
  </si>
  <si>
    <t>Danielle Brinney</t>
  </si>
  <si>
    <t>Member Services Specialist</t>
  </si>
  <si>
    <t>Dan Abrash</t>
  </si>
  <si>
    <t>Eaven Hardy</t>
  </si>
  <si>
    <t>Trenee Armstrong</t>
  </si>
  <si>
    <t>Member Services Coordinator</t>
  </si>
  <si>
    <t>Harrison Mitsanas</t>
  </si>
  <si>
    <t>Heidi Yates</t>
  </si>
  <si>
    <t>Front Office Specialist</t>
  </si>
  <si>
    <t>Susan Stenhouse</t>
  </si>
  <si>
    <t>1A.  Staff Salaries TOTAL</t>
  </si>
  <si>
    <t>1B.  Staff Fringe Benefits</t>
  </si>
  <si>
    <t>List each fringe benefit as a percentage of total staff salaries listed above (FICA, SUI, Workers’ Compensation, Medical Insurance, Retirement, etc.).</t>
  </si>
  <si>
    <t>Description</t>
  </si>
  <si>
    <t>FICA -7.65% of Gross Salary</t>
  </si>
  <si>
    <t>Worker's Compensation - 1 % of Gross Salary</t>
  </si>
  <si>
    <t>SUI - .85% based on direct charges</t>
  </si>
  <si>
    <t>Health Benefits - 5% of Gross Salary</t>
  </si>
  <si>
    <t>Retirement Benefits - .5% of Gross Salary</t>
  </si>
  <si>
    <t>1B.  Staff Fringe Benefits TOTAL</t>
  </si>
  <si>
    <t>2.  Consultant Services</t>
  </si>
  <si>
    <t>List each consultant to be funded. Include type of service, total budgeted expense, and any additional information to suport the use of consultants as opposed to staff or volunteers.</t>
  </si>
  <si>
    <t>Audit Fees - $161 /month  (rate 69.91 X 2.30 FTE =161)  X  12 months = $1,930 annuually</t>
  </si>
  <si>
    <t>Payroll - $51 /month (rate 22.25 X 2.30 FTE = 51) X 12 months = $614 annually</t>
  </si>
  <si>
    <t xml:space="preserve">Contractor's General </t>
  </si>
  <si>
    <t xml:space="preserve">Subcontracted with local food caterer for meals delivery.  City of Santa Monica pays  $90,000/year ( 18,000 meals @ $5.00)  </t>
  </si>
  <si>
    <t>2.  Consultant Services TOTAL</t>
  </si>
  <si>
    <t>3.  Operating Expenses</t>
  </si>
  <si>
    <t>List all operating expenses [e.g., space/rent expense, utilities, facilitiy maintenance, equipment, insurance, office supplies, printing, audit fees, travel, training, etc.].</t>
  </si>
  <si>
    <t>Occupancy (Facility Fees: Utilities, etc % based on square footage, estimated at $105,000 * .1042)</t>
  </si>
  <si>
    <t>Security -  (% based on square footage, estimated at $57,200 x .1042)</t>
  </si>
  <si>
    <t>Janitorial -   (% based on square footage)</t>
  </si>
  <si>
    <t xml:space="preserve">Insurance -  $115 /month (rate $50 X 2.30 FTE= $115 X 12 months = $1,380 annually </t>
  </si>
  <si>
    <t>Local Travel - based on mileage reimbursement  (517 miles @ .58 per mile = 300)</t>
  </si>
  <si>
    <t>Office Supplies -  $360 /Year  (30 /Month x 12 months)</t>
  </si>
  <si>
    <t>Program Supplies -  $2,400/Year  ($200.00/Month x 12 months)</t>
  </si>
  <si>
    <t>Telephone -$123 /Month (rate $53.39 X 2.30 FTE = $123)  X  12 months = $1,474annually</t>
  </si>
  <si>
    <t>Postage &amp; Shipping - $132 Year ($11/month x 12)</t>
  </si>
  <si>
    <t>Copier Costs - $300/Year ($25/month x 12)</t>
  </si>
  <si>
    <t>Printing Costs - $546 Year (45.50/month x 12)</t>
  </si>
  <si>
    <t>Advertising -  $1,200/Year  ($100/Month  x 12 months)</t>
  </si>
  <si>
    <t xml:space="preserve">Publications/Subscriptions - $203/year </t>
  </si>
  <si>
    <t>License Fees - $1,500/year ($125/month x 12)</t>
  </si>
  <si>
    <t>Hiring Fees -  $360/Year  ($30/Month x 12 months)</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</si>
  <si>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</si>
  <si>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</si>
  <si>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</si>
  <si>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</si>
  <si>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</si>
  <si>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</si>
  <si>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</si>
  <si>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</si>
  <si>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</si>
  <si>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</si>
  <si>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</si>
  <si>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</si>
  <si>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</si>
  <si>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</si>
  <si>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</si>
  <si>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</si>
  <si>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</si>
  <si>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</si>
  <si>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</si>
  <si>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</si>
  <si>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</si>
  <si>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</si>
  <si>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</si>
  <si>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</si>
  <si>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</si>
  <si>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</si>
  <si>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</si>
  <si>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</si>
  <si>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4.  Fundraising Events</t>
  </si>
  <si>
    <t>5.  Fees for Service</t>
  </si>
  <si>
    <t>Program Income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</si>
  <si>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</si>
  <si>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</si>
  <si>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</si>
  <si>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</si>
  <si>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</si>
  <si>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</si>
  <si>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</si>
  <si>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</si>
  <si>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</si>
  <si>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</si>
  <si>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</si>
  <si>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</si>
  <si>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</si>
  <si>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</si>
  <si>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</si>
  <si>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</si>
  <si>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</si>
  <si>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</si>
  <si>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</si>
  <si>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</si>
  <si>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</si>
  <si>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</si>
  <si>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</si>
  <si>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</si>
  <si>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</si>
  <si>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</si>
  <si>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</si>
  <si>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</si>
  <si>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</si>
  <si>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</si>
  <si>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</si>
  <si>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</si>
  <si>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</si>
  <si>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</si>
  <si>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</si>
  <si>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</si>
  <si>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</si>
  <si>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</si>
  <si>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</si>
  <si>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</si>
  <si>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</si>
  <si>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</si>
  <si>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</si>
  <si>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</si>
  <si>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</si>
  <si>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</si>
  <si>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</si>
  <si>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</si>
  <si>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</si>
  <si>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</si>
  <si>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</si>
  <si>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</si>
  <si>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</si>
  <si>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</si>
  <si>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</si>
  <si>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</si>
  <si>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</si>
  <si>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</si>
  <si>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</si>
  <si>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</si>
  <si>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</si>
  <si>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</si>
  <si>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</si>
  <si>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</si>
  <si>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</si>
  <si>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</si>
  <si>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NO MATCH REQUIREMENT</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</si>
  <si>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</si>
  <si>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</si>
  <si>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</si>
  <si>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</si>
  <si>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</si>
  <si>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</si>
  <si>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</si>
  <si>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</si>
  <si>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 xml:space="preserve">City </t>
  </si>
  <si>
    <t>City of Los Angeles</t>
  </si>
  <si>
    <t>County</t>
  </si>
  <si>
    <t>County of Los Angeles</t>
  </si>
  <si>
    <t xml:space="preserve">Federal </t>
  </si>
  <si>
    <t>DHHS  (ACL)</t>
  </si>
  <si>
    <t>CALOES</t>
  </si>
  <si>
    <t>Gogian Foundation</t>
  </si>
  <si>
    <t>Kaiser Foundation</t>
  </si>
  <si>
    <t>Parson's</t>
  </si>
  <si>
    <t>St. John's / Providence</t>
  </si>
  <si>
    <t>Contributions</t>
  </si>
  <si>
    <t>Program Income ADSC</t>
  </si>
  <si>
    <t>Program Income Other</t>
  </si>
  <si>
    <t>Program Income Care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</si>
</sst>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8"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
      <b/>
      <sz val="10"/>
      <color rgb="FFFF0000"/>
      <name val="Arial"/>
      <family val="2"/>
    </font>
    <font>
      <sz val="10"/>
      <color theme="1"/>
      <name val="Arial"/>
      <family val="2"/>
    </font>
  </fonts>
  <fills count="1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2EFDA"/>
        <bgColor indexed="64"/>
      </patternFill>
    </fill>
  </fills>
  <borders count="6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44">
    <xf numFmtId="0" fontId="0" fillId="0" borderId="0" xfId="0"/>
    <xf numFmtId="0" fontId="1" fillId="0" borderId="0" xfId="3"/>
    <xf numFmtId="0" fontId="15" fillId="0" borderId="0" xfId="3" applyFont="1" applyAlignment="1">
      <alignment horizontal="center"/>
    </xf>
    <xf numFmtId="0" fontId="2" fillId="0" borderId="0" xfId="3" applyFont="1"/>
    <xf numFmtId="164" fontId="4" fillId="2" borderId="0" xfId="2" applyNumberFormat="1"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 fillId="0" borderId="0" xfId="3" applyAlignment="1">
      <alignment vertical="center"/>
    </xf>
    <xf numFmtId="0" fontId="18" fillId="0" borderId="0" xfId="3" applyFont="1"/>
    <xf numFmtId="167" fontId="18" fillId="0" borderId="0" xfId="3" applyNumberFormat="1" applyFont="1"/>
    <xf numFmtId="0" fontId="18" fillId="0" borderId="0" xfId="3" applyFont="1" applyAlignment="1">
      <alignment horizontal="center"/>
    </xf>
    <xf numFmtId="41" fontId="5" fillId="4" borderId="11" xfId="3" applyNumberFormat="1" applyFont="1" applyFill="1" applyBorder="1" applyAlignment="1">
      <alignment horizontal="center"/>
    </xf>
    <xf numFmtId="41" fontId="19" fillId="4" borderId="10" xfId="3" applyNumberFormat="1" applyFont="1" applyFill="1" applyBorder="1" applyAlignment="1">
      <alignment horizontal="center" wrapText="1"/>
    </xf>
    <xf numFmtId="0" fontId="1" fillId="4" borderId="9" xfId="3" applyFill="1" applyBorder="1"/>
    <xf numFmtId="0" fontId="4" fillId="6" borderId="8" xfId="3" applyFont="1" applyFill="1" applyBorder="1"/>
    <xf numFmtId="0" fontId="4" fillId="2" borderId="0" xfId="3" applyFont="1" applyFill="1" applyAlignment="1">
      <alignment horizontal="center"/>
    </xf>
    <xf numFmtId="0" fontId="4" fillId="6" borderId="0" xfId="3" applyFont="1" applyFill="1" applyAlignment="1">
      <alignment horizontal="center"/>
    </xf>
    <xf numFmtId="0" fontId="18" fillId="6" borderId="7" xfId="3" applyFont="1" applyFill="1" applyBorder="1"/>
    <xf numFmtId="9" fontId="4" fillId="2" borderId="8" xfId="3" applyNumberFormat="1" applyFont="1" applyFill="1" applyBorder="1"/>
    <xf numFmtId="9" fontId="4" fillId="2" borderId="0" xfId="3" applyNumberFormat="1" applyFont="1" applyFill="1" applyAlignment="1">
      <alignment horizontal="center"/>
    </xf>
    <xf numFmtId="9" fontId="4" fillId="6" borderId="0" xfId="3" applyNumberFormat="1" applyFont="1" applyFill="1" applyAlignment="1">
      <alignment horizontal="center"/>
    </xf>
    <xf numFmtId="41" fontId="5" fillId="4" borderId="8" xfId="3" applyNumberFormat="1" applyFont="1" applyFill="1" applyBorder="1" applyAlignment="1">
      <alignment horizontal="center"/>
    </xf>
    <xf numFmtId="164" fontId="4" fillId="6" borderId="0" xfId="2" applyNumberFormat="1" applyFont="1" applyFill="1" applyBorder="1" applyAlignment="1" applyProtection="1">
      <alignment horizontal="right"/>
    </xf>
    <xf numFmtId="164" fontId="4" fillId="6" borderId="7" xfId="2" applyNumberFormat="1" applyFont="1" applyFill="1" applyBorder="1" applyAlignment="1" applyProtection="1">
      <alignment horizontal="right"/>
    </xf>
    <xf numFmtId="165" fontId="4" fillId="2" borderId="0" xfId="3" applyNumberFormat="1" applyFont="1" applyFill="1" applyAlignment="1">
      <alignment horizontal="center"/>
    </xf>
    <xf numFmtId="164" fontId="4" fillId="6" borderId="0" xfId="2" applyNumberFormat="1" applyFont="1" applyFill="1" applyBorder="1" applyAlignment="1" applyProtection="1">
      <alignment horizontal="center"/>
    </xf>
    <xf numFmtId="165" fontId="4" fillId="2" borderId="7" xfId="3" applyNumberFormat="1" applyFont="1" applyFill="1" applyBorder="1" applyAlignment="1">
      <alignment horizontal="center"/>
    </xf>
    <xf numFmtId="0" fontId="3" fillId="9" borderId="3" xfId="3" applyFont="1" applyFill="1" applyBorder="1"/>
    <xf numFmtId="165" fontId="3" fillId="9" borderId="2" xfId="3" applyNumberFormat="1" applyFont="1" applyFill="1" applyBorder="1" applyAlignment="1">
      <alignment horizontal="center"/>
    </xf>
    <xf numFmtId="165" fontId="3" fillId="9" borderId="1" xfId="3" applyNumberFormat="1" applyFont="1" applyFill="1" applyBorder="1" applyAlignment="1">
      <alignment horizontal="center"/>
    </xf>
    <xf numFmtId="0" fontId="18" fillId="6" borderId="0" xfId="3" applyFont="1" applyFill="1" applyAlignment="1">
      <alignment horizontal="center"/>
    </xf>
    <xf numFmtId="165" fontId="4" fillId="2" borderId="0" xfId="5" applyNumberFormat="1" applyFont="1" applyFill="1" applyBorder="1" applyAlignment="1" applyProtection="1">
      <alignment horizontal="center"/>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6" borderId="0" xfId="2" applyNumberFormat="1" applyFont="1" applyFill="1" applyBorder="1" applyAlignment="1" applyProtection="1">
      <alignment horizontal="right"/>
    </xf>
    <xf numFmtId="42" fontId="4" fillId="6" borderId="7" xfId="2" applyNumberFormat="1" applyFont="1" applyFill="1" applyBorder="1" applyAlignment="1" applyProtection="1">
      <alignment horizontal="right"/>
    </xf>
    <xf numFmtId="42" fontId="4" fillId="2" borderId="0" xfId="2" applyNumberFormat="1" applyFont="1" applyFill="1" applyBorder="1" applyAlignment="1" applyProtection="1">
      <alignment horizontal="center"/>
    </xf>
    <xf numFmtId="42" fontId="4" fillId="6" borderId="0" xfId="2" applyNumberFormat="1" applyFont="1" applyFill="1" applyBorder="1" applyAlignment="1" applyProtection="1">
      <alignment horizontal="center"/>
    </xf>
    <xf numFmtId="42" fontId="3" fillId="9" borderId="2" xfId="2" applyNumberFormat="1" applyFont="1" applyFill="1" applyBorder="1" applyAlignment="1" applyProtection="1">
      <alignment horizontal="center"/>
    </xf>
    <xf numFmtId="165" fontId="4" fillId="6" borderId="0" xfId="3" applyNumberFormat="1" applyFont="1" applyFill="1" applyAlignment="1">
      <alignment horizontal="center"/>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2"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1" borderId="0" xfId="3" applyFont="1" applyFill="1"/>
    <xf numFmtId="0" fontId="4" fillId="11" borderId="12" xfId="3" applyFont="1" applyFill="1" applyBorder="1"/>
    <xf numFmtId="0" fontId="4" fillId="11"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1"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8" borderId="18" xfId="3" applyFont="1" applyFill="1" applyBorder="1" applyAlignment="1">
      <alignment horizontal="center" vertical="center" wrapText="1"/>
    </xf>
    <xf numFmtId="0" fontId="35" fillId="8" borderId="1" xfId="3" applyFont="1" applyFill="1" applyBorder="1" applyAlignment="1">
      <alignment horizontal="center" vertical="center" wrapText="1"/>
    </xf>
    <xf numFmtId="42" fontId="3" fillId="11" borderId="12" xfId="3" applyNumberFormat="1" applyFont="1" applyFill="1" applyBorder="1"/>
    <xf numFmtId="0" fontId="1" fillId="11" borderId="12" xfId="3" applyFill="1" applyBorder="1"/>
    <xf numFmtId="9" fontId="3" fillId="3" borderId="2" xfId="5" applyFont="1" applyFill="1" applyBorder="1" applyAlignment="1" applyProtection="1">
      <alignment horizontal="center"/>
    </xf>
    <xf numFmtId="166" fontId="7" fillId="3" borderId="9" xfId="1" applyNumberFormat="1" applyFont="1" applyFill="1" applyBorder="1" applyAlignment="1" applyProtection="1">
      <alignment horizontal="center"/>
    </xf>
    <xf numFmtId="9" fontId="7" fillId="3" borderId="10" xfId="5" applyFont="1" applyFill="1" applyBorder="1" applyAlignment="1" applyProtection="1">
      <alignment horizontal="center"/>
    </xf>
    <xf numFmtId="166" fontId="7" fillId="3" borderId="7" xfId="1" applyNumberFormat="1" applyFont="1" applyFill="1" applyBorder="1" applyAlignment="1" applyProtection="1">
      <alignment horizontal="center"/>
    </xf>
    <xf numFmtId="9" fontId="7" fillId="3"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3" borderId="24" xfId="5" applyFont="1" applyFill="1" applyBorder="1" applyAlignment="1" applyProtection="1">
      <alignment horizontal="center"/>
    </xf>
    <xf numFmtId="164" fontId="12" fillId="3" borderId="0" xfId="2" applyNumberFormat="1" applyFont="1" applyFill="1" applyBorder="1" applyProtection="1"/>
    <xf numFmtId="9" fontId="12" fillId="3" borderId="0" xfId="5" applyFont="1" applyFill="1" applyBorder="1" applyAlignment="1" applyProtection="1">
      <alignment horizontal="center"/>
    </xf>
    <xf numFmtId="44" fontId="12" fillId="3" borderId="7" xfId="2" applyFont="1" applyFill="1" applyBorder="1" applyProtection="1"/>
    <xf numFmtId="0" fontId="13" fillId="0" borderId="0" xfId="3" applyFont="1"/>
    <xf numFmtId="9" fontId="2" fillId="0" borderId="0" xfId="5" applyFont="1" applyFill="1" applyBorder="1" applyAlignment="1" applyProtection="1">
      <alignment horizontal="center"/>
    </xf>
    <xf numFmtId="164" fontId="2" fillId="0" borderId="0" xfId="2" applyNumberFormat="1" applyFont="1" applyFill="1" applyBorder="1" applyProtection="1"/>
    <xf numFmtId="0" fontId="13" fillId="0" borderId="0" xfId="3" applyFont="1" applyAlignment="1">
      <alignment horizontal="left" vertical="center"/>
    </xf>
    <xf numFmtId="0" fontId="2" fillId="0" borderId="0" xfId="3" applyFont="1" applyAlignment="1">
      <alignment horizontal="center" vertical="center" textRotation="90" wrapText="1"/>
    </xf>
    <xf numFmtId="9" fontId="7" fillId="3" borderId="33" xfId="5" applyFont="1" applyFill="1" applyBorder="1" applyAlignment="1" applyProtection="1">
      <alignment horizontal="center"/>
    </xf>
    <xf numFmtId="166" fontId="7" fillId="3" borderId="34" xfId="1" applyNumberFormat="1" applyFont="1" applyFill="1" applyBorder="1" applyAlignment="1" applyProtection="1">
      <alignment horizontal="center"/>
    </xf>
    <xf numFmtId="166" fontId="7" fillId="3" borderId="39" xfId="1" applyNumberFormat="1" applyFont="1" applyFill="1" applyBorder="1" applyAlignment="1" applyProtection="1">
      <alignment horizontal="center"/>
    </xf>
    <xf numFmtId="9" fontId="2" fillId="3" borderId="42" xfId="5" applyFont="1" applyFill="1" applyBorder="1" applyAlignment="1" applyProtection="1">
      <alignment horizontal="center"/>
    </xf>
    <xf numFmtId="9" fontId="2" fillId="4" borderId="2" xfId="5" applyFont="1" applyFill="1" applyBorder="1" applyAlignment="1" applyProtection="1"/>
    <xf numFmtId="9" fontId="12" fillId="3" borderId="0" xfId="5" applyFont="1" applyFill="1" applyBorder="1" applyProtection="1"/>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3" borderId="17" xfId="5" applyFont="1" applyFill="1" applyBorder="1" applyAlignment="1" applyProtection="1">
      <alignment horizontal="center"/>
    </xf>
    <xf numFmtId="42" fontId="2" fillId="3" borderId="42" xfId="2" applyNumberFormat="1" applyFont="1" applyFill="1" applyBorder="1" applyProtection="1"/>
    <xf numFmtId="42" fontId="2" fillId="3"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3" borderId="24" xfId="2" applyNumberFormat="1" applyFont="1" applyFill="1" applyBorder="1" applyProtection="1"/>
    <xf numFmtId="42" fontId="2" fillId="3" borderId="25" xfId="2" applyNumberFormat="1" applyFont="1" applyFill="1" applyBorder="1" applyProtection="1"/>
    <xf numFmtId="42" fontId="1" fillId="0" borderId="22" xfId="2" applyNumberFormat="1" applyFont="1" applyFill="1" applyBorder="1" applyProtection="1"/>
    <xf numFmtId="42" fontId="2" fillId="3" borderId="17" xfId="2" applyNumberFormat="1" applyFont="1" applyFill="1" applyBorder="1" applyProtection="1"/>
    <xf numFmtId="42" fontId="2" fillId="3" borderId="62" xfId="2" applyNumberFormat="1" applyFont="1" applyFill="1" applyBorder="1" applyProtection="1"/>
    <xf numFmtId="42" fontId="3" fillId="3" borderId="2" xfId="2" applyNumberFormat="1" applyFont="1" applyFill="1" applyBorder="1" applyProtection="1"/>
    <xf numFmtId="42" fontId="3" fillId="3" borderId="1" xfId="2" applyNumberFormat="1" applyFont="1" applyFill="1" applyBorder="1" applyProtection="1"/>
    <xf numFmtId="42" fontId="1" fillId="0" borderId="21" xfId="2" applyNumberFormat="1" applyFont="1" applyBorder="1" applyProtection="1"/>
    <xf numFmtId="42" fontId="3" fillId="7" borderId="30" xfId="2" applyNumberFormat="1" applyFont="1" applyFill="1" applyBorder="1" applyProtection="1"/>
    <xf numFmtId="42" fontId="3" fillId="7" borderId="17" xfId="2" applyNumberFormat="1" applyFont="1" applyFill="1" applyBorder="1" applyAlignment="1" applyProtection="1">
      <alignment horizontal="center"/>
    </xf>
    <xf numFmtId="42" fontId="3" fillId="7" borderId="31" xfId="2" applyNumberFormat="1" applyFont="1" applyFill="1" applyBorder="1" applyProtection="1"/>
    <xf numFmtId="42" fontId="1" fillId="0" borderId="12" xfId="2" applyNumberFormat="1" applyFont="1" applyFill="1" applyBorder="1" applyProtection="1"/>
    <xf numFmtId="0" fontId="1" fillId="6" borderId="26" xfId="2" applyNumberFormat="1" applyFont="1" applyFill="1" applyBorder="1" applyProtection="1"/>
    <xf numFmtId="42" fontId="1" fillId="6" borderId="45" xfId="2" applyNumberFormat="1" applyFont="1" applyFill="1" applyBorder="1" applyProtection="1"/>
    <xf numFmtId="42" fontId="4" fillId="11" borderId="14" xfId="2" applyNumberFormat="1" applyFont="1" applyFill="1" applyBorder="1" applyAlignment="1" applyProtection="1">
      <alignment horizontal="center" vertical="center" wrapText="1"/>
    </xf>
    <xf numFmtId="42" fontId="1" fillId="11" borderId="21" xfId="2" applyNumberFormat="1" applyFont="1" applyFill="1" applyBorder="1" applyProtection="1"/>
    <xf numFmtId="10" fontId="1" fillId="11" borderId="26" xfId="5" applyNumberFormat="1" applyFont="1" applyFill="1" applyBorder="1" applyAlignment="1" applyProtection="1">
      <alignment horizontal="left" vertical="top" wrapText="1"/>
    </xf>
    <xf numFmtId="42" fontId="1" fillId="11" borderId="22" xfId="2" applyNumberFormat="1" applyFont="1" applyFill="1" applyBorder="1" applyProtection="1"/>
    <xf numFmtId="49" fontId="1" fillId="11" borderId="45" xfId="5" applyNumberFormat="1" applyFont="1" applyFill="1" applyBorder="1" applyAlignment="1" applyProtection="1">
      <alignment horizontal="left" vertical="top" wrapText="1"/>
    </xf>
    <xf numFmtId="49" fontId="1" fillId="11" borderId="52" xfId="5" applyNumberFormat="1" applyFont="1" applyFill="1" applyBorder="1" applyAlignment="1" applyProtection="1">
      <alignment horizontal="left" vertical="top" wrapText="1"/>
    </xf>
    <xf numFmtId="164" fontId="1" fillId="11" borderId="21" xfId="2" applyNumberFormat="1" applyFont="1" applyFill="1" applyBorder="1" applyProtection="1"/>
    <xf numFmtId="164" fontId="1" fillId="11" borderId="22" xfId="2" applyNumberFormat="1" applyFont="1" applyFill="1" applyBorder="1" applyProtection="1"/>
    <xf numFmtId="49" fontId="1" fillId="11" borderId="55" xfId="5" applyNumberFormat="1" applyFont="1" applyFill="1" applyBorder="1" applyAlignment="1" applyProtection="1">
      <alignment horizontal="left" vertical="top" wrapText="1"/>
    </xf>
    <xf numFmtId="49" fontId="1" fillId="11" borderId="60" xfId="5" applyNumberFormat="1" applyFont="1" applyFill="1" applyBorder="1" applyAlignment="1" applyProtection="1">
      <alignment horizontal="left" vertical="top" wrapText="1"/>
    </xf>
    <xf numFmtId="49" fontId="1" fillId="11" borderId="61" xfId="5" applyNumberFormat="1" applyFont="1" applyFill="1" applyBorder="1" applyAlignment="1" applyProtection="1">
      <alignment horizontal="left" vertical="top" wrapText="1"/>
    </xf>
    <xf numFmtId="0" fontId="1" fillId="11" borderId="26" xfId="2" applyNumberFormat="1" applyFont="1" applyFill="1" applyBorder="1" applyProtection="1"/>
    <xf numFmtId="0" fontId="3" fillId="13" borderId="18" xfId="3" applyFont="1" applyFill="1" applyBorder="1" applyAlignment="1">
      <alignment horizontal="center" wrapText="1"/>
    </xf>
    <xf numFmtId="49" fontId="1" fillId="11" borderId="57" xfId="5" applyNumberFormat="1" applyFont="1" applyFill="1" applyBorder="1" applyAlignment="1" applyProtection="1">
      <alignment horizontal="left" vertical="top" wrapText="1"/>
    </xf>
    <xf numFmtId="42" fontId="1" fillId="5" borderId="21" xfId="2" applyNumberFormat="1" applyFont="1" applyFill="1" applyBorder="1" applyProtection="1"/>
    <xf numFmtId="42" fontId="1" fillId="5" borderId="22" xfId="2" applyNumberFormat="1" applyFont="1" applyFill="1" applyBorder="1" applyProtection="1"/>
    <xf numFmtId="42" fontId="1" fillId="5" borderId="19" xfId="2" applyNumberFormat="1" applyFont="1" applyFill="1" applyBorder="1" applyProtection="1"/>
    <xf numFmtId="9" fontId="37" fillId="0" borderId="21" xfId="5" applyFont="1" applyFill="1" applyBorder="1" applyAlignment="1" applyProtection="1">
      <alignment horizontal="center"/>
    </xf>
    <xf numFmtId="42" fontId="37" fillId="0" borderId="19" xfId="2" applyNumberFormat="1" applyFont="1" applyFill="1" applyBorder="1" applyProtection="1"/>
    <xf numFmtId="42" fontId="37" fillId="0" borderId="21" xfId="2" applyNumberFormat="1" applyFont="1" applyFill="1" applyBorder="1" applyProtection="1"/>
    <xf numFmtId="0" fontId="3" fillId="0" borderId="0" xfId="3" applyFont="1"/>
    <xf numFmtId="41" fontId="19" fillId="4" borderId="0" xfId="3" applyNumberFormat="1" applyFont="1" applyFill="1" applyAlignment="1">
      <alignment horizontal="center" wrapText="1"/>
    </xf>
    <xf numFmtId="41" fontId="19" fillId="4" borderId="7" xfId="3" applyNumberFormat="1" applyFont="1" applyFill="1" applyBorder="1" applyAlignment="1">
      <alignment horizontal="center" wrapText="1"/>
    </xf>
    <xf numFmtId="0" fontId="13" fillId="0" borderId="0" xfId="3" applyFont="1" applyAlignment="1">
      <alignment vertical="top"/>
    </xf>
    <xf numFmtId="0" fontId="3" fillId="12" borderId="12" xfId="3" applyFont="1" applyFill="1" applyBorder="1" applyAlignment="1">
      <alignment horizontal="center" wrapText="1"/>
    </xf>
    <xf numFmtId="166" fontId="8" fillId="0" borderId="39" xfId="1" applyNumberFormat="1" applyFont="1" applyFill="1" applyBorder="1" applyAlignment="1" applyProtection="1">
      <alignment horizontal="center" wrapText="1"/>
    </xf>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3" borderId="14" xfId="3" applyFont="1" applyFill="1" applyBorder="1" applyAlignment="1" applyProtection="1">
      <alignment horizontal="left" vertical="center" wrapText="1"/>
    </xf>
    <xf numFmtId="0" fontId="20" fillId="3"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1" borderId="14" xfId="3" applyNumberFormat="1" applyFont="1" applyFill="1" applyBorder="1" applyAlignment="1" applyProtection="1">
      <alignment horizontal="center" vertical="center" wrapText="1"/>
    </xf>
    <xf numFmtId="1" fontId="4" fillId="5"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1" fillId="0" borderId="14" xfId="3" applyFont="1" applyBorder="1" applyAlignment="1" applyProtection="1">
      <alignment horizontal="right" vertical="center"/>
    </xf>
    <xf numFmtId="1" fontId="21" fillId="5" borderId="14" xfId="3" applyNumberFormat="1" applyFont="1" applyFill="1" applyBorder="1" applyAlignment="1" applyProtection="1">
      <alignment vertical="center" wrapText="1"/>
    </xf>
    <xf numFmtId="1" fontId="21" fillId="5"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1" fontId="21" fillId="5" borderId="14" xfId="3" quotePrefix="1" applyNumberFormat="1" applyFont="1" applyFill="1" applyBorder="1" applyAlignment="1" applyProtection="1">
      <alignment vertical="center" wrapText="1"/>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3" borderId="46" xfId="3" applyFont="1" applyFill="1" applyBorder="1" applyAlignment="1" applyProtection="1">
      <alignment horizontal="center" vertical="center" wrapText="1"/>
    </xf>
    <xf numFmtId="0" fontId="20" fillId="3" borderId="47"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4" borderId="3" xfId="3" applyFont="1" applyFill="1" applyBorder="1" applyProtection="1"/>
    <xf numFmtId="0" fontId="2" fillId="4" borderId="2" xfId="3" applyFont="1" applyFill="1" applyBorder="1" applyProtection="1"/>
    <xf numFmtId="0" fontId="2" fillId="4"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1" borderId="12" xfId="3" applyNumberFormat="1" applyFont="1" applyFill="1" applyBorder="1" applyProtection="1"/>
    <xf numFmtId="0" fontId="1" fillId="0" borderId="0" xfId="3" applyAlignment="1" applyProtection="1">
      <alignment horizontal="left" indent="1"/>
    </xf>
    <xf numFmtId="49" fontId="2" fillId="11" borderId="15" xfId="3" applyNumberFormat="1" applyFont="1" applyFill="1" applyBorder="1" applyProtection="1"/>
    <xf numFmtId="0" fontId="1" fillId="0" borderId="8" xfId="3" applyBorder="1" applyProtection="1"/>
    <xf numFmtId="0" fontId="2" fillId="0" borderId="8" xfId="3" applyFont="1" applyBorder="1" applyProtection="1"/>
    <xf numFmtId="0" fontId="12" fillId="11" borderId="12" xfId="3" applyFont="1" applyFill="1" applyBorder="1" applyProtection="1"/>
    <xf numFmtId="42" fontId="1" fillId="5"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3" borderId="32" xfId="3" applyFont="1" applyFill="1" applyBorder="1" applyAlignment="1" applyProtection="1">
      <alignment wrapText="1"/>
    </xf>
    <xf numFmtId="0" fontId="2" fillId="3" borderId="33" xfId="3" applyFont="1" applyFill="1" applyBorder="1" applyProtection="1"/>
    <xf numFmtId="0" fontId="1" fillId="3" borderId="33" xfId="3" applyFill="1" applyBorder="1" applyProtection="1"/>
    <xf numFmtId="0" fontId="7" fillId="3" borderId="33" xfId="3" applyFont="1" applyFill="1" applyBorder="1" applyAlignment="1" applyProtection="1">
      <alignment horizontal="center"/>
    </xf>
    <xf numFmtId="0" fontId="12" fillId="3" borderId="35" xfId="3" applyFont="1" applyFill="1" applyBorder="1" applyProtection="1"/>
    <xf numFmtId="0" fontId="7" fillId="3" borderId="0" xfId="3" applyFont="1" applyFill="1" applyProtection="1"/>
    <xf numFmtId="0" fontId="12" fillId="3" borderId="0" xfId="3" applyFont="1" applyFill="1" applyProtection="1"/>
    <xf numFmtId="0" fontId="7" fillId="3"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1" borderId="40" xfId="0" applyNumberFormat="1" applyFont="1" applyFill="1" applyBorder="1" applyAlignment="1" applyProtection="1">
      <alignment horizontal="left" vertical="top"/>
    </xf>
    <xf numFmtId="49" fontId="1" fillId="11" borderId="21" xfId="0" applyNumberFormat="1" applyFont="1" applyFill="1" applyBorder="1" applyAlignment="1" applyProtection="1">
      <alignment horizontal="left" vertical="top"/>
    </xf>
    <xf numFmtId="49" fontId="1" fillId="11" borderId="21" xfId="0" applyNumberFormat="1" applyFont="1" applyFill="1" applyBorder="1" applyAlignment="1" applyProtection="1">
      <alignment horizontal="center" vertical="top" shrinkToFit="1"/>
    </xf>
    <xf numFmtId="170" fontId="1" fillId="11" borderId="21" xfId="0" applyNumberFormat="1" applyFont="1" applyFill="1" applyBorder="1" applyAlignment="1" applyProtection="1">
      <alignment horizontal="center" vertical="top" shrinkToFit="1"/>
    </xf>
    <xf numFmtId="9" fontId="1" fillId="11" borderId="21" xfId="0" applyNumberFormat="1" applyFont="1" applyFill="1" applyBorder="1" applyAlignment="1" applyProtection="1">
      <alignment horizontal="center" vertical="top" shrinkToFit="1"/>
    </xf>
    <xf numFmtId="1" fontId="1" fillId="11" borderId="21" xfId="0" applyNumberFormat="1" applyFont="1" applyFill="1" applyBorder="1" applyAlignment="1" applyProtection="1">
      <alignment horizontal="center" vertical="top" shrinkToFit="1"/>
    </xf>
    <xf numFmtId="42" fontId="1" fillId="0" borderId="21" xfId="3" applyNumberFormat="1" applyBorder="1" applyProtection="1"/>
    <xf numFmtId="42" fontId="1" fillId="5" borderId="36" xfId="3" applyNumberFormat="1" applyFill="1" applyBorder="1" applyProtection="1"/>
    <xf numFmtId="49" fontId="1" fillId="11" borderId="22" xfId="0" applyNumberFormat="1" applyFont="1" applyFill="1" applyBorder="1" applyAlignment="1" applyProtection="1">
      <alignment horizontal="center" vertical="top" shrinkToFit="1"/>
    </xf>
    <xf numFmtId="170" fontId="1" fillId="11" borderId="22" xfId="0" applyNumberFormat="1" applyFont="1" applyFill="1" applyBorder="1" applyAlignment="1" applyProtection="1">
      <alignment horizontal="center" vertical="top" shrinkToFit="1"/>
    </xf>
    <xf numFmtId="9" fontId="1" fillId="11" borderId="22" xfId="0" applyNumberFormat="1" applyFont="1" applyFill="1" applyBorder="1" applyAlignment="1" applyProtection="1">
      <alignment horizontal="center" vertical="top" shrinkToFit="1"/>
    </xf>
    <xf numFmtId="1" fontId="1" fillId="11" borderId="22" xfId="0" applyNumberFormat="1" applyFont="1" applyFill="1" applyBorder="1" applyAlignment="1" applyProtection="1">
      <alignment horizontal="center" vertical="top" shrinkToFit="1"/>
    </xf>
    <xf numFmtId="10" fontId="36" fillId="11"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3" borderId="41" xfId="3" applyFont="1" applyFill="1" applyBorder="1" applyAlignment="1" applyProtection="1">
      <alignment horizontal="left"/>
    </xf>
    <xf numFmtId="0" fontId="2" fillId="3" borderId="42" xfId="3" applyFont="1" applyFill="1" applyBorder="1" applyAlignment="1" applyProtection="1">
      <alignment horizontal="right"/>
    </xf>
    <xf numFmtId="0" fontId="2" fillId="3" borderId="42" xfId="3" applyFont="1" applyFill="1" applyBorder="1" applyAlignment="1" applyProtection="1">
      <alignment horizontal="center"/>
    </xf>
    <xf numFmtId="0" fontId="2" fillId="3" borderId="11" xfId="3" applyFont="1" applyFill="1" applyBorder="1" applyProtection="1"/>
    <xf numFmtId="0" fontId="2" fillId="3" borderId="10" xfId="3" applyFont="1" applyFill="1" applyBorder="1" applyProtection="1"/>
    <xf numFmtId="0" fontId="1" fillId="3" borderId="10" xfId="3" applyFill="1" applyBorder="1" applyProtection="1"/>
    <xf numFmtId="0" fontId="7" fillId="3" borderId="10" xfId="3" applyFont="1" applyFill="1" applyBorder="1" applyAlignment="1" applyProtection="1">
      <alignment horizontal="center"/>
    </xf>
    <xf numFmtId="0" fontId="12" fillId="3"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1" borderId="20" xfId="0" applyNumberFormat="1" applyFont="1" applyFill="1" applyBorder="1" applyAlignment="1" applyProtection="1">
      <alignment horizontal="left" vertical="top"/>
    </xf>
    <xf numFmtId="49" fontId="1" fillId="11" borderId="45" xfId="0" applyNumberFormat="1" applyFont="1" applyFill="1" applyBorder="1" applyAlignment="1" applyProtection="1">
      <alignment horizontal="left" vertical="top" shrinkToFit="1"/>
    </xf>
    <xf numFmtId="49" fontId="1" fillId="11" borderId="45" xfId="3" applyNumberFormat="1" applyFill="1" applyBorder="1" applyAlignment="1" applyProtection="1">
      <alignment horizontal="left" vertical="top" wrapText="1"/>
    </xf>
    <xf numFmtId="0" fontId="1" fillId="0" borderId="0" xfId="3" applyAlignment="1" applyProtection="1">
      <alignment horizontal="left" vertical="top" wrapText="1"/>
    </xf>
    <xf numFmtId="49" fontId="1" fillId="11" borderId="20" xfId="3" applyNumberFormat="1" applyFill="1" applyBorder="1" applyAlignment="1" applyProtection="1">
      <alignment horizontal="left" vertical="top"/>
    </xf>
    <xf numFmtId="49" fontId="1" fillId="11" borderId="26" xfId="3" applyNumberFormat="1" applyFill="1" applyBorder="1" applyAlignment="1" applyProtection="1">
      <alignment horizontal="left" vertical="top" wrapText="1"/>
    </xf>
    <xf numFmtId="49" fontId="1" fillId="11" borderId="20" xfId="3" applyNumberFormat="1" applyFill="1" applyBorder="1" applyAlignment="1" applyProtection="1">
      <alignment horizontal="left" vertical="top" wrapText="1"/>
    </xf>
    <xf numFmtId="49" fontId="1" fillId="11" borderId="57" xfId="3" applyNumberFormat="1" applyFill="1" applyBorder="1" applyAlignment="1" applyProtection="1">
      <alignment horizontal="left" vertical="top" wrapText="1"/>
    </xf>
    <xf numFmtId="49" fontId="1" fillId="11" borderId="44" xfId="3" applyNumberFormat="1" applyFill="1" applyBorder="1" applyAlignment="1" applyProtection="1">
      <alignment horizontal="left" vertical="top" wrapText="1"/>
    </xf>
    <xf numFmtId="42" fontId="1" fillId="5" borderId="28" xfId="2" applyNumberFormat="1" applyFont="1" applyFill="1" applyBorder="1" applyProtection="1"/>
    <xf numFmtId="0" fontId="2" fillId="3" borderId="54" xfId="3" applyFont="1" applyFill="1" applyBorder="1" applyAlignment="1" applyProtection="1">
      <alignment horizontal="left"/>
    </xf>
    <xf numFmtId="0" fontId="2" fillId="3" borderId="17" xfId="3" applyFont="1" applyFill="1" applyBorder="1" applyAlignment="1" applyProtection="1">
      <alignment horizontal="right"/>
    </xf>
    <xf numFmtId="0" fontId="2" fillId="3" borderId="24" xfId="3" applyFont="1" applyFill="1" applyBorder="1" applyAlignment="1" applyProtection="1">
      <alignment horizontal="center"/>
    </xf>
    <xf numFmtId="49" fontId="1" fillId="11" borderId="51" xfId="0" applyNumberFormat="1" applyFont="1" applyFill="1" applyBorder="1" applyAlignment="1" applyProtection="1">
      <alignment horizontal="left" vertical="top"/>
    </xf>
    <xf numFmtId="49" fontId="1" fillId="11" borderId="52" xfId="0" applyNumberFormat="1" applyFont="1" applyFill="1" applyBorder="1" applyAlignment="1" applyProtection="1">
      <alignment horizontal="left" vertical="top" shrinkToFit="1"/>
    </xf>
    <xf numFmtId="49" fontId="1" fillId="11" borderId="52" xfId="3" applyNumberFormat="1" applyFill="1" applyBorder="1" applyAlignment="1" applyProtection="1">
      <alignment horizontal="left" vertical="top" wrapText="1"/>
    </xf>
    <xf numFmtId="49" fontId="1" fillId="11" borderId="53" xfId="3" applyNumberFormat="1" applyFill="1" applyBorder="1" applyAlignment="1" applyProtection="1">
      <alignment horizontal="left" vertical="top" wrapText="1"/>
    </xf>
    <xf numFmtId="49" fontId="1" fillId="11" borderId="51" xfId="3" applyNumberFormat="1" applyFill="1" applyBorder="1" applyAlignment="1" applyProtection="1">
      <alignment horizontal="left" vertical="top"/>
    </xf>
    <xf numFmtId="49" fontId="1" fillId="11" borderId="51" xfId="3" applyNumberFormat="1" applyFill="1" applyBorder="1" applyAlignment="1" applyProtection="1">
      <alignment horizontal="left" vertical="top" wrapText="1"/>
    </xf>
    <xf numFmtId="42" fontId="37" fillId="5" borderId="22" xfId="2" applyNumberFormat="1" applyFont="1" applyFill="1" applyBorder="1" applyProtection="1"/>
    <xf numFmtId="49" fontId="1" fillId="14" borderId="51" xfId="3" applyNumberFormat="1" applyFill="1" applyBorder="1" applyAlignment="1" applyProtection="1">
      <alignment horizontal="left" vertical="top"/>
    </xf>
    <xf numFmtId="0" fontId="2" fillId="3" borderId="11" xfId="3" applyFont="1" applyFill="1" applyBorder="1" applyAlignment="1" applyProtection="1">
      <alignment wrapText="1"/>
    </xf>
    <xf numFmtId="42" fontId="37" fillId="5" borderId="21" xfId="2" applyNumberFormat="1" applyFont="1" applyFill="1" applyBorder="1" applyProtection="1"/>
    <xf numFmtId="49" fontId="1" fillId="11" borderId="55" xfId="3" applyNumberFormat="1" applyFill="1" applyBorder="1" applyAlignment="1" applyProtection="1">
      <alignment horizontal="left" vertical="top" wrapText="1"/>
    </xf>
    <xf numFmtId="49" fontId="1" fillId="11" borderId="56" xfId="3" applyNumberFormat="1" applyFill="1" applyBorder="1" applyAlignment="1" applyProtection="1">
      <alignment horizontal="left" vertical="top" wrapText="1"/>
    </xf>
    <xf numFmtId="42" fontId="1" fillId="5" borderId="23" xfId="2" applyNumberFormat="1" applyFont="1" applyFill="1" applyBorder="1" applyProtection="1"/>
    <xf numFmtId="0" fontId="12" fillId="3" borderId="0" xfId="3" applyFont="1" applyFill="1" applyAlignment="1" applyProtection="1">
      <alignment wrapText="1"/>
    </xf>
    <xf numFmtId="0" fontId="12" fillId="3" borderId="7" xfId="3" applyFont="1" applyFill="1" applyBorder="1" applyProtection="1"/>
    <xf numFmtId="0" fontId="7" fillId="3" borderId="8" xfId="3" applyFont="1" applyFill="1" applyBorder="1" applyAlignment="1" applyProtection="1">
      <alignment horizontal="left" indent="1"/>
    </xf>
    <xf numFmtId="49" fontId="1" fillId="11" borderId="58" xfId="0" applyNumberFormat="1" applyFont="1" applyFill="1" applyBorder="1" applyAlignment="1" applyProtection="1">
      <alignment horizontal="left" vertical="top" shrinkToFit="1"/>
    </xf>
    <xf numFmtId="49" fontId="1" fillId="11" borderId="59"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1" borderId="58" xfId="3" applyNumberFormat="1" applyFill="1" applyBorder="1" applyAlignment="1" applyProtection="1">
      <alignment horizontal="left" vertical="top" wrapText="1"/>
    </xf>
    <xf numFmtId="42" fontId="1" fillId="5" borderId="27" xfId="2" applyNumberFormat="1" applyFont="1" applyFill="1" applyBorder="1" applyProtection="1"/>
    <xf numFmtId="0" fontId="2" fillId="3" borderId="17" xfId="3" applyFont="1" applyFill="1" applyBorder="1" applyAlignment="1" applyProtection="1">
      <alignment horizontal="center"/>
    </xf>
    <xf numFmtId="0" fontId="3" fillId="3" borderId="3" xfId="3" applyFont="1" applyFill="1" applyBorder="1" applyAlignment="1" applyProtection="1">
      <alignment horizontal="right"/>
    </xf>
    <xf numFmtId="0" fontId="3" fillId="3" borderId="2" xfId="3" applyFont="1" applyFill="1" applyBorder="1" applyAlignment="1" applyProtection="1">
      <alignment horizontal="right"/>
    </xf>
    <xf numFmtId="0" fontId="3" fillId="3" borderId="2" xfId="3" applyFont="1" applyFill="1" applyBorder="1" applyAlignment="1" applyProtection="1">
      <alignment horizontal="left"/>
    </xf>
    <xf numFmtId="0" fontId="3" fillId="3" borderId="2" xfId="3" applyFont="1" applyFill="1" applyBorder="1" applyAlignment="1" applyProtection="1">
      <alignment horizontal="center"/>
    </xf>
    <xf numFmtId="0" fontId="3" fillId="3" borderId="11" xfId="3" applyFont="1" applyFill="1" applyBorder="1" applyProtection="1"/>
    <xf numFmtId="0" fontId="2" fillId="3" borderId="9" xfId="3" applyFont="1" applyFill="1" applyBorder="1" applyProtection="1"/>
    <xf numFmtId="0" fontId="4" fillId="3" borderId="8" xfId="3" applyFont="1" applyFill="1" applyBorder="1" applyProtection="1"/>
    <xf numFmtId="0" fontId="2" fillId="3" borderId="0" xfId="3" applyFont="1" applyFill="1" applyProtection="1"/>
    <xf numFmtId="0" fontId="2" fillId="3"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1" borderId="29" xfId="0" applyFont="1" applyFill="1" applyBorder="1" applyProtection="1"/>
    <xf numFmtId="0" fontId="1" fillId="6" borderId="29" xfId="0" applyFont="1" applyFill="1" applyBorder="1" applyProtection="1"/>
    <xf numFmtId="0" fontId="3" fillId="0" borderId="6" xfId="3" applyFont="1" applyBorder="1" applyProtection="1"/>
    <xf numFmtId="0" fontId="3" fillId="3" borderId="16" xfId="3" applyFont="1" applyFill="1" applyBorder="1" applyAlignment="1" applyProtection="1">
      <alignment horizontal="left"/>
    </xf>
    <xf numFmtId="0" fontId="3" fillId="3"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0" borderId="0" xfId="3" applyFont="1" applyFill="1" applyAlignment="1">
      <alignment horizontal="left" vertical="center" wrapText="1"/>
    </xf>
    <xf numFmtId="0" fontId="1" fillId="0" borderId="0" xfId="3" applyAlignment="1">
      <alignment horizontal="left" vertical="center" wrapText="1"/>
    </xf>
    <xf numFmtId="0" fontId="13" fillId="0" borderId="0" xfId="3" applyFont="1" applyAlignment="1">
      <alignment horizontal="center"/>
    </xf>
    <xf numFmtId="0" fontId="2" fillId="5" borderId="0" xfId="3" applyFont="1" applyFill="1" applyAlignment="1">
      <alignment horizontal="left" vertical="center" wrapText="1" indent="2"/>
    </xf>
    <xf numFmtId="0" fontId="1" fillId="0" borderId="0" xfId="3" applyAlignment="1">
      <alignment horizontal="left" vertical="center" wrapText="1" indent="1"/>
    </xf>
    <xf numFmtId="0" fontId="20" fillId="3" borderId="47" xfId="3" applyFont="1" applyFill="1" applyBorder="1" applyAlignment="1" applyProtection="1">
      <alignment horizontal="left" vertical="center" wrapText="1"/>
    </xf>
    <xf numFmtId="0" fontId="20" fillId="3" borderId="50" xfId="3" applyFont="1" applyFill="1" applyBorder="1" applyAlignment="1" applyProtection="1">
      <alignment horizontal="left" vertical="center" wrapText="1"/>
    </xf>
    <xf numFmtId="0" fontId="20" fillId="3" borderId="48"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0" fontId="20" fillId="3" borderId="46" xfId="3" applyFont="1" applyFill="1" applyBorder="1" applyAlignment="1" applyProtection="1">
      <alignment horizontal="center" vertical="center" wrapText="1"/>
    </xf>
    <xf numFmtId="41" fontId="19" fillId="4" borderId="0" xfId="3" applyNumberFormat="1" applyFont="1" applyFill="1" applyAlignment="1">
      <alignment horizontal="center" wrapText="1"/>
    </xf>
    <xf numFmtId="41" fontId="19" fillId="4" borderId="7" xfId="3" applyNumberFormat="1" applyFont="1" applyFill="1" applyBorder="1" applyAlignment="1">
      <alignment horizontal="center" wrapText="1"/>
    </xf>
    <xf numFmtId="0" fontId="12" fillId="0" borderId="0" xfId="3" applyFont="1"/>
    <xf numFmtId="0" fontId="1" fillId="0" borderId="0" xfId="3"/>
    <xf numFmtId="0" fontId="3" fillId="0" borderId="0" xfId="3" applyFont="1"/>
    <xf numFmtId="0" fontId="13" fillId="0" borderId="0" xfId="3" applyFont="1" applyAlignment="1">
      <alignment vertical="top"/>
    </xf>
    <xf numFmtId="0" fontId="31" fillId="0" borderId="0" xfId="3" applyFont="1"/>
    <xf numFmtId="0" fontId="4" fillId="0" borderId="48" xfId="3" applyFont="1" applyBorder="1" applyAlignment="1">
      <alignment horizontal="justify" vertical="center" wrapText="1"/>
    </xf>
    <xf numFmtId="0" fontId="4" fillId="0" borderId="15" xfId="3" applyFont="1" applyBorder="1"/>
    <xf numFmtId="0" fontId="3" fillId="12" borderId="12" xfId="3" applyFont="1" applyFill="1" applyBorder="1" applyAlignment="1">
      <alignment horizontal="center" wrapText="1"/>
    </xf>
    <xf numFmtId="0" fontId="1" fillId="12" borderId="12" xfId="3" applyFill="1" applyBorder="1" applyAlignment="1">
      <alignment horizontal="center" wrapText="1"/>
    </xf>
    <xf numFmtId="170" fontId="2" fillId="3"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53975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64" customFormat="1" ht="18" x14ac:dyDescent="0.25">
      <c r="A1" s="324" t="s">
        <v>0</v>
      </c>
      <c r="B1" s="324"/>
      <c r="C1" s="324"/>
    </row>
    <row r="2" spans="1:3" s="65" customFormat="1" ht="18" x14ac:dyDescent="0.25">
      <c r="A2" s="324" t="s">
        <v>1</v>
      </c>
      <c r="B2" s="324"/>
      <c r="C2" s="324"/>
    </row>
    <row r="3" spans="1:3" s="66" customFormat="1" ht="13.5" thickBot="1" x14ac:dyDescent="0.25">
      <c r="A3" s="65"/>
      <c r="B3" s="65"/>
      <c r="C3" s="65"/>
    </row>
    <row r="4" spans="1:3" s="65" customFormat="1" ht="15.75" thickBot="1" x14ac:dyDescent="0.25">
      <c r="A4" s="67" t="s">
        <v>2</v>
      </c>
      <c r="B4" s="68" t="s">
        <v>3</v>
      </c>
      <c r="C4" s="68" t="s">
        <v>4</v>
      </c>
    </row>
    <row r="5" spans="1:3" s="65" customFormat="1" ht="29.25" thickBot="1" x14ac:dyDescent="0.25">
      <c r="A5" s="7" t="s">
        <v>5</v>
      </c>
      <c r="B5" s="6" t="s">
        <v>6</v>
      </c>
      <c r="C5" s="5">
        <v>44963</v>
      </c>
    </row>
    <row r="6" spans="1:3" s="65" customFormat="1" ht="29.25" thickBot="1" x14ac:dyDescent="0.25">
      <c r="A6" s="7" t="s">
        <v>7</v>
      </c>
      <c r="B6" s="6" t="s">
        <v>8</v>
      </c>
      <c r="C6" s="5">
        <v>45145</v>
      </c>
    </row>
    <row r="8" spans="1:3" ht="17.25" customHeight="1" x14ac:dyDescent="0.2">
      <c r="A8" s="322" t="s">
        <v>9</v>
      </c>
      <c r="B8" s="322"/>
      <c r="C8" s="322"/>
    </row>
    <row r="9" spans="1:3" ht="74.25" customHeight="1" x14ac:dyDescent="0.2">
      <c r="A9" s="323" t="s">
        <v>10</v>
      </c>
      <c r="B9" s="323"/>
      <c r="C9" s="323"/>
    </row>
    <row r="10" spans="1:3" ht="45.75" customHeight="1" x14ac:dyDescent="0.2">
      <c r="A10" s="323" t="s">
        <v>11</v>
      </c>
      <c r="B10" s="323"/>
      <c r="C10" s="323"/>
    </row>
    <row r="11" spans="1:3" ht="90" customHeight="1" x14ac:dyDescent="0.2">
      <c r="A11" s="323" t="s">
        <v>12</v>
      </c>
      <c r="B11" s="323"/>
      <c r="C11" s="323"/>
    </row>
    <row r="12" spans="1:3" ht="11.25" customHeight="1" x14ac:dyDescent="0.2">
      <c r="A12" s="323"/>
      <c r="B12" s="323"/>
      <c r="C12" s="323"/>
    </row>
    <row r="13" spans="1:3" ht="15" customHeight="1" x14ac:dyDescent="0.2">
      <c r="A13" s="322" t="s">
        <v>13</v>
      </c>
      <c r="B13" s="322"/>
      <c r="C13" s="322"/>
    </row>
    <row r="14" spans="1:3" ht="65.25" customHeight="1" x14ac:dyDescent="0.2">
      <c r="A14" s="323" t="s">
        <v>14</v>
      </c>
      <c r="B14" s="323"/>
      <c r="C14" s="323"/>
    </row>
    <row r="15" spans="1:3" s="3" customFormat="1" ht="50.25" customHeight="1" x14ac:dyDescent="0.2">
      <c r="A15" s="323" t="s">
        <v>15</v>
      </c>
      <c r="B15" s="323"/>
      <c r="C15" s="323"/>
    </row>
    <row r="16" spans="1:3" x14ac:dyDescent="0.2">
      <c r="A16" s="323"/>
      <c r="B16" s="323"/>
      <c r="C16" s="323"/>
    </row>
    <row r="17" spans="1:3" ht="16.5" customHeight="1" x14ac:dyDescent="0.2">
      <c r="A17" s="325" t="s">
        <v>16</v>
      </c>
      <c r="B17" s="325"/>
      <c r="C17" s="325"/>
    </row>
    <row r="18" spans="1:3" ht="30.75" customHeight="1" x14ac:dyDescent="0.2">
      <c r="A18" s="326" t="s">
        <v>17</v>
      </c>
      <c r="B18" s="326"/>
      <c r="C18" s="326"/>
    </row>
    <row r="19" spans="1:3" ht="30" customHeight="1" x14ac:dyDescent="0.2">
      <c r="A19" s="326" t="s">
        <v>18</v>
      </c>
      <c r="B19" s="326"/>
      <c r="C19" s="326"/>
    </row>
    <row r="20" spans="1:3" s="3" customFormat="1" ht="24.75" customHeight="1" x14ac:dyDescent="0.2">
      <c r="A20" s="326" t="s">
        <v>19</v>
      </c>
      <c r="B20" s="326"/>
      <c r="C20" s="326"/>
    </row>
    <row r="21" spans="1:3" ht="30" customHeight="1" x14ac:dyDescent="0.2">
      <c r="A21" s="326" t="s">
        <v>20</v>
      </c>
      <c r="B21" s="326"/>
      <c r="C21" s="326"/>
    </row>
    <row r="22" spans="1:3" x14ac:dyDescent="0.2">
      <c r="A22" s="323"/>
      <c r="B22" s="323"/>
      <c r="C22" s="323"/>
    </row>
    <row r="23" spans="1:3" ht="12.75" customHeight="1" x14ac:dyDescent="0.2">
      <c r="A23" s="325" t="s">
        <v>21</v>
      </c>
      <c r="B23" s="325"/>
      <c r="C23" s="325"/>
    </row>
    <row r="24" spans="1:3" s="3" customFormat="1" ht="172.5" customHeight="1" x14ac:dyDescent="0.2">
      <c r="A24" s="326" t="s">
        <v>22</v>
      </c>
      <c r="B24" s="326"/>
      <c r="C24" s="326"/>
    </row>
    <row r="25" spans="1:3" ht="174.75" customHeight="1" x14ac:dyDescent="0.2">
      <c r="A25" s="326" t="s">
        <v>23</v>
      </c>
      <c r="B25" s="326"/>
      <c r="C25" s="326"/>
    </row>
    <row r="26" spans="1:3" x14ac:dyDescent="0.2">
      <c r="A26" s="323"/>
      <c r="B26" s="323"/>
      <c r="C26" s="323"/>
    </row>
    <row r="27" spans="1:3" ht="13.5" customHeight="1" x14ac:dyDescent="0.2">
      <c r="A27" s="325" t="s">
        <v>24</v>
      </c>
      <c r="B27" s="325"/>
      <c r="C27" s="325"/>
    </row>
    <row r="28" spans="1:3" ht="54" customHeight="1" x14ac:dyDescent="0.2">
      <c r="A28" s="326" t="s">
        <v>25</v>
      </c>
      <c r="B28" s="326"/>
      <c r="C28" s="326"/>
    </row>
    <row r="29" spans="1:3" ht="31.5" customHeight="1" x14ac:dyDescent="0.2">
      <c r="A29" s="326" t="s">
        <v>26</v>
      </c>
      <c r="B29" s="326"/>
      <c r="C29" s="326"/>
    </row>
    <row r="30" spans="1:3" ht="55.5" customHeight="1" x14ac:dyDescent="0.2">
      <c r="A30" s="326" t="s">
        <v>27</v>
      </c>
      <c r="B30" s="326"/>
      <c r="C30" s="326"/>
    </row>
    <row r="31" spans="1:3" x14ac:dyDescent="0.2">
      <c r="A31" s="323"/>
      <c r="B31" s="323"/>
      <c r="C31" s="323"/>
    </row>
    <row r="32" spans="1:3" x14ac:dyDescent="0.2">
      <c r="A32" s="322" t="s">
        <v>28</v>
      </c>
      <c r="B32" s="322"/>
      <c r="C32" s="322"/>
    </row>
    <row r="33" spans="1:3" ht="43.5" customHeight="1" x14ac:dyDescent="0.2">
      <c r="A33" s="323" t="s">
        <v>29</v>
      </c>
      <c r="B33" s="323"/>
      <c r="C33" s="323"/>
    </row>
    <row r="35" spans="1:3" x14ac:dyDescent="0.2">
      <c r="A35" s="322" t="s">
        <v>30</v>
      </c>
      <c r="B35" s="322"/>
      <c r="C35" s="322"/>
    </row>
    <row r="36" spans="1:3" ht="54" customHeight="1" x14ac:dyDescent="0.2">
      <c r="A36" s="323" t="s">
        <v>31</v>
      </c>
      <c r="B36" s="323"/>
      <c r="C36" s="323"/>
    </row>
    <row r="37" spans="1:3" x14ac:dyDescent="0.2">
      <c r="A37" s="323"/>
      <c r="B37" s="323"/>
      <c r="C37" s="323"/>
    </row>
    <row r="38" spans="1:3" x14ac:dyDescent="0.2">
      <c r="A38" s="322" t="s">
        <v>32</v>
      </c>
      <c r="B38" s="322"/>
      <c r="C38" s="322"/>
    </row>
    <row r="39" spans="1:3" ht="86.25" customHeight="1" x14ac:dyDescent="0.2">
      <c r="A39" s="323" t="s">
        <v>33</v>
      </c>
      <c r="B39" s="323"/>
      <c r="C39" s="323"/>
    </row>
    <row r="41" spans="1:3" x14ac:dyDescent="0.2">
      <c r="A41" s="322" t="s">
        <v>34</v>
      </c>
      <c r="B41" s="322"/>
      <c r="C41" s="322"/>
    </row>
    <row r="42" spans="1:3" ht="77.25" customHeight="1" x14ac:dyDescent="0.2">
      <c r="A42" s="323" t="s">
        <v>35</v>
      </c>
      <c r="B42" s="323"/>
      <c r="C42" s="323"/>
    </row>
  </sheetData>
  <sheetProtection algorithmName="SHA-512" hashValue="jbKUy+CyHbQukWt4LlkcLkK37mxNUl5oH2AFYVPX0TwKrr/ml5Ck9GgtsIzHuuBltUN2+lK9li3punxhFxL2qQ==" saltValue="ckEKiY1jcr+Gcbb0mWb3uQ==" spinCount="100000" sheet="1" objects="1" scenarios="1"/>
  <mergeCells count="35">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19:C19"/>
    <mergeCell ref="A20:C20"/>
    <mergeCell ref="A21:C21"/>
    <mergeCell ref="A22:C22"/>
    <mergeCell ref="A37:C37"/>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s>
  <printOptions horizontalCentered="1"/>
  <pageMargins left="0.7" right="0.7" top="0.75" bottom="0.75" header="0.3" footer="0.3"/>
  <pageSetup scale="83" orientation="portrait" horizontalDpi="4294967295" verticalDpi="4294967295"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42"/>
  <sheetViews>
    <sheetView showGridLines="0" zoomScale="80" zoomScaleNormal="80" workbookViewId="0">
      <selection activeCell="N1" sqref="N1"/>
    </sheetView>
  </sheetViews>
  <sheetFormatPr defaultColWidth="8.85546875" defaultRowHeight="12.75" outlineLevelRow="1" x14ac:dyDescent="0.2"/>
  <cols>
    <col min="1" max="1" width="33.140625" style="201" customWidth="1"/>
    <col min="2" max="2" width="32.5703125" style="201" customWidth="1"/>
    <col min="3" max="3" width="30.42578125" style="201" customWidth="1"/>
    <col min="4" max="4" width="11.140625" style="201" customWidth="1"/>
    <col min="5" max="5" width="10.85546875" style="201" customWidth="1"/>
    <col min="6" max="6" width="10" style="201" customWidth="1"/>
    <col min="7" max="9" width="14.85546875" style="201" customWidth="1"/>
    <col min="10" max="12" width="14.42578125" style="201" customWidth="1"/>
    <col min="13" max="13" width="13.85546875" style="77" bestFit="1" customWidth="1"/>
    <col min="14" max="14" width="16.7109375" style="76" customWidth="1"/>
    <col min="15" max="16384" width="8.85546875" style="201"/>
  </cols>
  <sheetData>
    <row r="1" spans="1:14" ht="18" x14ac:dyDescent="0.25">
      <c r="A1" s="198" t="s">
        <v>36</v>
      </c>
      <c r="B1" s="199"/>
      <c r="C1" s="200"/>
      <c r="D1" s="200"/>
      <c r="E1" s="200"/>
      <c r="F1" s="200"/>
      <c r="G1" s="200"/>
      <c r="H1" s="200"/>
      <c r="I1" s="200"/>
      <c r="J1" s="200"/>
      <c r="K1" s="200"/>
      <c r="L1" s="200"/>
      <c r="M1" s="87"/>
      <c r="N1" s="86"/>
    </row>
    <row r="2" spans="1:14" ht="18" x14ac:dyDescent="0.2">
      <c r="A2" s="202" t="s">
        <v>37</v>
      </c>
      <c r="B2" s="199"/>
      <c r="C2" s="200"/>
      <c r="D2" s="200"/>
      <c r="E2" s="200"/>
      <c r="F2" s="200"/>
      <c r="G2" s="200"/>
      <c r="H2" s="200"/>
      <c r="I2" s="200"/>
      <c r="J2" s="200"/>
      <c r="K2" s="200"/>
      <c r="L2" s="200"/>
      <c r="M2" s="87"/>
      <c r="N2" s="86"/>
    </row>
    <row r="3" spans="1:14" ht="13.5" thickBot="1" x14ac:dyDescent="0.25">
      <c r="A3" s="199"/>
      <c r="B3" s="199"/>
      <c r="C3" s="200"/>
      <c r="D3" s="200"/>
      <c r="E3" s="200"/>
      <c r="F3" s="200"/>
      <c r="G3" s="200"/>
      <c r="H3" s="200"/>
      <c r="I3" s="200"/>
      <c r="J3" s="200"/>
      <c r="K3" s="200"/>
      <c r="L3" s="200"/>
      <c r="M3" s="87"/>
      <c r="N3" s="86"/>
    </row>
    <row r="4" spans="1:14" ht="13.5" thickBot="1" x14ac:dyDescent="0.25">
      <c r="A4" s="203" t="s">
        <v>38</v>
      </c>
      <c r="B4" s="204"/>
      <c r="C4" s="204"/>
      <c r="D4" s="204"/>
      <c r="E4" s="204"/>
      <c r="F4" s="204"/>
      <c r="G4" s="204"/>
      <c r="H4" s="204"/>
      <c r="I4" s="204"/>
      <c r="J4" s="204"/>
      <c r="K4" s="204"/>
      <c r="L4" s="204"/>
      <c r="M4" s="105"/>
      <c r="N4" s="205"/>
    </row>
    <row r="5" spans="1:14" ht="33.75" x14ac:dyDescent="0.2">
      <c r="A5" s="206"/>
      <c r="B5" s="207"/>
      <c r="C5" s="207"/>
      <c r="D5" s="207"/>
      <c r="E5" s="207"/>
      <c r="F5" s="207"/>
      <c r="G5" s="208" t="s">
        <v>39</v>
      </c>
      <c r="H5" s="208" t="s">
        <v>40</v>
      </c>
      <c r="I5" s="208" t="s">
        <v>41</v>
      </c>
      <c r="J5" s="208" t="s">
        <v>42</v>
      </c>
      <c r="K5" s="208" t="s">
        <v>43</v>
      </c>
      <c r="L5" s="208" t="s">
        <v>44</v>
      </c>
      <c r="M5" s="110" t="s">
        <v>45</v>
      </c>
      <c r="N5" s="111" t="s">
        <v>46</v>
      </c>
    </row>
    <row r="6" spans="1:14" x14ac:dyDescent="0.2">
      <c r="A6" s="209" t="s">
        <v>47</v>
      </c>
      <c r="B6" s="210" t="s">
        <v>48</v>
      </c>
      <c r="C6" s="210"/>
      <c r="D6" s="211" t="str">
        <f>A24</f>
        <v>1A.  Staff Salaries</v>
      </c>
      <c r="G6" s="121">
        <f t="shared" ref="G6:I6" si="0">G42</f>
        <v>143997</v>
      </c>
      <c r="H6" s="121">
        <f t="shared" si="0"/>
        <v>99688</v>
      </c>
      <c r="I6" s="121">
        <f t="shared" si="0"/>
        <v>44309</v>
      </c>
      <c r="J6" s="121">
        <f t="shared" ref="J6:K6" si="1">J42</f>
        <v>47996.5</v>
      </c>
      <c r="K6" s="121">
        <f t="shared" si="1"/>
        <v>50500.79</v>
      </c>
      <c r="L6" s="121">
        <f>L42</f>
        <v>98497.290000000008</v>
      </c>
      <c r="M6" s="84">
        <f t="shared" ref="M6:M13" si="2">IFERROR(L6/H6,"N/A")</f>
        <v>0.98805563357675952</v>
      </c>
      <c r="N6" s="123">
        <f>N42</f>
        <v>98497.290000000008</v>
      </c>
    </row>
    <row r="7" spans="1:14" x14ac:dyDescent="0.2">
      <c r="A7" s="209" t="s">
        <v>49</v>
      </c>
      <c r="B7" s="212" t="s">
        <v>50</v>
      </c>
      <c r="C7" s="212"/>
      <c r="D7" s="211" t="str">
        <f>A44</f>
        <v>1B.  Staff Fringe Benefits</v>
      </c>
      <c r="G7" s="121">
        <f t="shared" ref="G7:I7" si="3">G54</f>
        <v>21599.550000000003</v>
      </c>
      <c r="H7" s="121">
        <f t="shared" si="3"/>
        <v>14953.199999999999</v>
      </c>
      <c r="I7" s="121">
        <f t="shared" si="3"/>
        <v>6646.3500000000013</v>
      </c>
      <c r="J7" s="121">
        <f>J54</f>
        <v>7609</v>
      </c>
      <c r="K7" s="121">
        <f>K54</f>
        <v>7217.98</v>
      </c>
      <c r="L7" s="121">
        <f>L54</f>
        <v>14826.98</v>
      </c>
      <c r="M7" s="84">
        <f t="shared" si="2"/>
        <v>0.99155899740523767</v>
      </c>
      <c r="N7" s="123">
        <f>N54</f>
        <v>14826.98</v>
      </c>
    </row>
    <row r="8" spans="1:14" x14ac:dyDescent="0.2">
      <c r="A8" s="213"/>
      <c r="D8" s="211" t="str">
        <f>A56</f>
        <v>2.  Consultant Services</v>
      </c>
      <c r="G8" s="121">
        <f t="shared" ref="G8:I8" si="4">G65</f>
        <v>92543.615999999995</v>
      </c>
      <c r="H8" s="121">
        <f t="shared" si="4"/>
        <v>92045.95</v>
      </c>
      <c r="I8" s="121">
        <f t="shared" si="4"/>
        <v>497.66599999999949</v>
      </c>
      <c r="J8" s="121">
        <f>J65</f>
        <v>42195.15</v>
      </c>
      <c r="K8" s="121">
        <f>K65</f>
        <v>50462.38</v>
      </c>
      <c r="L8" s="121">
        <f>L65</f>
        <v>92657.53</v>
      </c>
      <c r="M8" s="84">
        <f t="shared" si="2"/>
        <v>1.0066442901615986</v>
      </c>
      <c r="N8" s="123">
        <f>N65</f>
        <v>95657.56</v>
      </c>
    </row>
    <row r="9" spans="1:14" x14ac:dyDescent="0.2">
      <c r="A9" s="213"/>
      <c r="D9" s="211" t="str">
        <f>A67</f>
        <v>3.  Operating Expenses</v>
      </c>
      <c r="G9" s="121">
        <f t="shared" ref="G9:L9" si="5">G87</f>
        <v>29555.803999999996</v>
      </c>
      <c r="H9" s="121">
        <f t="shared" si="5"/>
        <v>26718.239999999998</v>
      </c>
      <c r="I9" s="121">
        <f t="shared" si="5"/>
        <v>2837.5639999999994</v>
      </c>
      <c r="J9" s="121">
        <f t="shared" si="5"/>
        <v>13925.42</v>
      </c>
      <c r="K9" s="121">
        <f t="shared" si="5"/>
        <v>13498.399999999996</v>
      </c>
      <c r="L9" s="121">
        <f t="shared" si="5"/>
        <v>27423.819999999996</v>
      </c>
      <c r="M9" s="84">
        <f t="shared" si="2"/>
        <v>1.0264081765864816</v>
      </c>
      <c r="N9" s="123">
        <f>N87</f>
        <v>27423.819999999996</v>
      </c>
    </row>
    <row r="10" spans="1:14" x14ac:dyDescent="0.2">
      <c r="A10" s="214" t="s">
        <v>51</v>
      </c>
      <c r="B10" s="215" t="s">
        <v>52</v>
      </c>
      <c r="D10" s="211" t="str">
        <f>A89</f>
        <v>4.  Direct Client Support</v>
      </c>
      <c r="G10" s="121">
        <f>G95</f>
        <v>0</v>
      </c>
      <c r="H10" s="121">
        <f t="shared" ref="H10:N10" si="6">H95</f>
        <v>0</v>
      </c>
      <c r="I10" s="121">
        <f t="shared" si="6"/>
        <v>0</v>
      </c>
      <c r="J10" s="121">
        <f t="shared" si="6"/>
        <v>0</v>
      </c>
      <c r="K10" s="121">
        <f t="shared" si="6"/>
        <v>0</v>
      </c>
      <c r="L10" s="121">
        <f t="shared" si="6"/>
        <v>0</v>
      </c>
      <c r="M10" s="84" t="str">
        <f t="shared" si="2"/>
        <v>N/A</v>
      </c>
      <c r="N10" s="123">
        <f t="shared" si="6"/>
        <v>0</v>
      </c>
    </row>
    <row r="11" spans="1:14" x14ac:dyDescent="0.2">
      <c r="A11" s="213"/>
      <c r="D11" s="211" t="str">
        <f>A97</f>
        <v>5.  Other</v>
      </c>
      <c r="G11" s="121">
        <f>G103</f>
        <v>0</v>
      </c>
      <c r="H11" s="121">
        <f t="shared" ref="H11:N11" si="7">H103</f>
        <v>0</v>
      </c>
      <c r="I11" s="121">
        <f t="shared" si="7"/>
        <v>0</v>
      </c>
      <c r="J11" s="121">
        <f t="shared" si="7"/>
        <v>0</v>
      </c>
      <c r="K11" s="121">
        <f t="shared" si="7"/>
        <v>0</v>
      </c>
      <c r="L11" s="121">
        <f t="shared" si="7"/>
        <v>0</v>
      </c>
      <c r="M11" s="84" t="str">
        <f t="shared" si="2"/>
        <v>N/A</v>
      </c>
      <c r="N11" s="123">
        <f t="shared" si="7"/>
        <v>0</v>
      </c>
    </row>
    <row r="12" spans="1:14" x14ac:dyDescent="0.2">
      <c r="A12" s="213"/>
      <c r="D12" s="211" t="str">
        <f>A105</f>
        <v>6.  Indirect Administrative Costs</v>
      </c>
      <c r="G12" s="121">
        <f>G112</f>
        <v>21599.55</v>
      </c>
      <c r="H12" s="121">
        <f t="shared" ref="H12:L12" si="8">H112</f>
        <v>14950.199999999999</v>
      </c>
      <c r="I12" s="121">
        <f t="shared" si="8"/>
        <v>6649.35</v>
      </c>
      <c r="J12" s="121">
        <f t="shared" si="8"/>
        <v>7476</v>
      </c>
      <c r="K12" s="121">
        <f t="shared" si="8"/>
        <v>7474</v>
      </c>
      <c r="L12" s="121">
        <f t="shared" si="8"/>
        <v>14950</v>
      </c>
      <c r="M12" s="84">
        <f t="shared" si="2"/>
        <v>0.9999866222525452</v>
      </c>
      <c r="N12" s="123">
        <f>N112</f>
        <v>14950</v>
      </c>
    </row>
    <row r="13" spans="1:14" x14ac:dyDescent="0.2">
      <c r="A13" s="213" t="s">
        <v>53</v>
      </c>
      <c r="B13" s="216">
        <v>248356</v>
      </c>
      <c r="D13" s="217" t="str">
        <f>C114</f>
        <v>7.   TOTAL BUDGET</v>
      </c>
      <c r="E13" s="199"/>
      <c r="F13" s="199"/>
      <c r="G13" s="122">
        <f>G114</f>
        <v>309295.51999999996</v>
      </c>
      <c r="H13" s="122">
        <f t="shared" ref="H13:L13" si="9">H114</f>
        <v>248355.59</v>
      </c>
      <c r="I13" s="122">
        <f t="shared" si="9"/>
        <v>60939.93</v>
      </c>
      <c r="J13" s="122">
        <f t="shared" si="9"/>
        <v>119202.07</v>
      </c>
      <c r="K13" s="122">
        <f t="shared" si="9"/>
        <v>129153.54999999999</v>
      </c>
      <c r="L13" s="122">
        <f t="shared" si="9"/>
        <v>248355.62</v>
      </c>
      <c r="M13" s="85">
        <f t="shared" si="2"/>
        <v>1.000000120794543</v>
      </c>
      <c r="N13" s="124">
        <f>N114</f>
        <v>251355.65000000002</v>
      </c>
    </row>
    <row r="14" spans="1:14" x14ac:dyDescent="0.2">
      <c r="A14" s="213" t="s">
        <v>54</v>
      </c>
      <c r="B14" s="137">
        <f>L13</f>
        <v>248355.62</v>
      </c>
      <c r="M14" s="201"/>
      <c r="N14" s="218"/>
    </row>
    <row r="15" spans="1:14" x14ac:dyDescent="0.2">
      <c r="A15" s="213" t="s">
        <v>55</v>
      </c>
      <c r="B15" s="137">
        <f>B13-B14</f>
        <v>0.38000000000465661</v>
      </c>
      <c r="M15" s="201"/>
      <c r="N15" s="218"/>
    </row>
    <row r="16" spans="1:14" x14ac:dyDescent="0.2">
      <c r="A16" s="213"/>
      <c r="M16" s="201"/>
      <c r="N16" s="218"/>
    </row>
    <row r="17" spans="1:14" ht="13.5" thickBot="1" x14ac:dyDescent="0.25">
      <c r="A17" s="219"/>
      <c r="B17" s="220"/>
      <c r="C17" s="221"/>
      <c r="D17" s="220"/>
      <c r="E17" s="220"/>
      <c r="F17" s="220"/>
      <c r="G17" s="221"/>
      <c r="H17" s="221"/>
      <c r="I17" s="221"/>
      <c r="J17" s="221"/>
      <c r="K17" s="221"/>
      <c r="L17" s="221"/>
      <c r="M17" s="221"/>
      <c r="N17" s="222"/>
    </row>
    <row r="18" spans="1:14" ht="13.5" thickBot="1" x14ac:dyDescent="0.25">
      <c r="A18" s="199"/>
      <c r="D18" s="199"/>
      <c r="E18" s="199"/>
      <c r="F18" s="199"/>
      <c r="G18" s="98"/>
      <c r="H18" s="98"/>
      <c r="I18" s="98"/>
      <c r="J18" s="98"/>
      <c r="K18" s="98"/>
      <c r="L18" s="98"/>
      <c r="M18" s="97"/>
      <c r="N18" s="98"/>
    </row>
    <row r="19" spans="1:14" ht="13.5" hidden="1" thickBot="1" x14ac:dyDescent="0.25">
      <c r="A19" s="206" t="s">
        <v>56</v>
      </c>
      <c r="B19" s="207"/>
      <c r="C19" s="207" t="s">
        <v>57</v>
      </c>
      <c r="D19" s="223"/>
      <c r="E19" s="223"/>
      <c r="F19" s="207" t="s">
        <v>58</v>
      </c>
      <c r="G19" s="113"/>
      <c r="H19" s="113"/>
      <c r="I19" s="113"/>
      <c r="J19" s="113"/>
      <c r="K19" s="113"/>
      <c r="L19" s="113"/>
      <c r="M19" s="114"/>
      <c r="N19" s="115"/>
    </row>
    <row r="20" spans="1:14" ht="13.5" hidden="1" thickBot="1" x14ac:dyDescent="0.25">
      <c r="A20" s="213" t="s">
        <v>59</v>
      </c>
      <c r="C20" s="201" t="s">
        <v>60</v>
      </c>
      <c r="D20" s="199"/>
      <c r="E20" s="199"/>
      <c r="F20" s="201" t="s">
        <v>61</v>
      </c>
      <c r="G20" s="98"/>
      <c r="H20" s="98"/>
      <c r="I20" s="98"/>
      <c r="J20" s="98"/>
      <c r="K20" s="98"/>
      <c r="L20" s="98"/>
      <c r="M20" s="97"/>
      <c r="N20" s="116"/>
    </row>
    <row r="21" spans="1:14" ht="13.5" hidden="1" thickBot="1" x14ac:dyDescent="0.25">
      <c r="A21" s="224" t="s">
        <v>52</v>
      </c>
      <c r="B21" s="221"/>
      <c r="C21" s="201" t="s">
        <v>62</v>
      </c>
      <c r="D21" s="221"/>
      <c r="E21" s="221"/>
      <c r="F21" s="221" t="s">
        <v>63</v>
      </c>
      <c r="G21" s="221"/>
      <c r="H21" s="221"/>
      <c r="I21" s="221"/>
      <c r="J21" s="221"/>
      <c r="K21" s="221"/>
      <c r="L21" s="221"/>
      <c r="M21" s="79"/>
      <c r="N21" s="117"/>
    </row>
    <row r="22" spans="1:14" ht="13.5" thickBot="1" x14ac:dyDescent="0.25">
      <c r="A22" s="203" t="s">
        <v>64</v>
      </c>
      <c r="B22" s="204"/>
      <c r="C22" s="204"/>
      <c r="D22" s="204"/>
      <c r="E22" s="204"/>
      <c r="F22" s="204"/>
      <c r="G22" s="204"/>
      <c r="H22" s="204"/>
      <c r="I22" s="204"/>
      <c r="J22" s="204"/>
      <c r="K22" s="204"/>
      <c r="L22" s="204"/>
      <c r="M22" s="105"/>
      <c r="N22" s="205"/>
    </row>
    <row r="23" spans="1:14" ht="13.5" thickBot="1" x14ac:dyDescent="0.25"/>
    <row r="24" spans="1:14" x14ac:dyDescent="0.2">
      <c r="A24" s="225" t="s">
        <v>65</v>
      </c>
      <c r="B24" s="226"/>
      <c r="C24" s="226"/>
      <c r="D24" s="226"/>
      <c r="E24" s="226"/>
      <c r="F24" s="227"/>
      <c r="G24" s="228"/>
      <c r="H24" s="228"/>
      <c r="I24" s="228"/>
      <c r="J24" s="228"/>
      <c r="K24" s="228"/>
      <c r="L24" s="228"/>
      <c r="M24" s="101"/>
      <c r="N24" s="102"/>
    </row>
    <row r="25" spans="1:14" s="233" customFormat="1" ht="11.25" x14ac:dyDescent="0.2">
      <c r="A25" s="229" t="s">
        <v>66</v>
      </c>
      <c r="B25" s="230"/>
      <c r="C25" s="230"/>
      <c r="D25" s="230"/>
      <c r="E25" s="230"/>
      <c r="F25" s="231"/>
      <c r="G25" s="232"/>
      <c r="H25" s="232"/>
      <c r="I25" s="232"/>
      <c r="J25" s="232"/>
      <c r="K25" s="232"/>
      <c r="L25" s="232"/>
      <c r="M25" s="75"/>
      <c r="N25" s="103"/>
    </row>
    <row r="26" spans="1:14" s="233" customFormat="1" ht="33.75" x14ac:dyDescent="0.2">
      <c r="A26" s="234" t="s">
        <v>67</v>
      </c>
      <c r="B26" s="235" t="s">
        <v>68</v>
      </c>
      <c r="C26" s="236" t="s">
        <v>69</v>
      </c>
      <c r="D26" s="236" t="s">
        <v>70</v>
      </c>
      <c r="E26" s="236"/>
      <c r="F26" s="236"/>
      <c r="G26" s="236" t="s">
        <v>39</v>
      </c>
      <c r="H26" s="236" t="s">
        <v>40</v>
      </c>
      <c r="I26" s="236" t="s">
        <v>41</v>
      </c>
      <c r="J26" s="236" t="s">
        <v>42</v>
      </c>
      <c r="K26" s="236" t="s">
        <v>43</v>
      </c>
      <c r="L26" s="236" t="s">
        <v>44</v>
      </c>
      <c r="M26" s="90" t="s">
        <v>45</v>
      </c>
      <c r="N26" s="165" t="s">
        <v>46</v>
      </c>
    </row>
    <row r="27" spans="1:14" hidden="1" outlineLevel="1" x14ac:dyDescent="0.2">
      <c r="A27" s="237" t="s">
        <v>71</v>
      </c>
      <c r="B27" s="238" t="s">
        <v>72</v>
      </c>
      <c r="C27" s="239" t="s">
        <v>57</v>
      </c>
      <c r="D27" s="240">
        <v>1</v>
      </c>
      <c r="E27" s="241">
        <v>0.2</v>
      </c>
      <c r="F27" s="242">
        <v>12</v>
      </c>
      <c r="G27" s="141">
        <f>135000*E27</f>
        <v>27000</v>
      </c>
      <c r="H27" s="141">
        <v>15000</v>
      </c>
      <c r="I27" s="121">
        <f>G27-H27</f>
        <v>12000</v>
      </c>
      <c r="J27" s="154">
        <f>7433-1500</f>
        <v>5933</v>
      </c>
      <c r="K27" s="154">
        <f>18157.03-2550-J27</f>
        <v>9674.0299999999988</v>
      </c>
      <c r="L27" s="243">
        <f>SUM(J27:K27)</f>
        <v>15607.029999999999</v>
      </c>
      <c r="M27" s="157">
        <f>IFERROR(L27/H27,"N/A")</f>
        <v>1.0404686666666665</v>
      </c>
      <c r="N27" s="244">
        <v>15607.029999999999</v>
      </c>
    </row>
    <row r="28" spans="1:14" hidden="1" outlineLevel="1" x14ac:dyDescent="0.2">
      <c r="A28" s="237" t="s">
        <v>73</v>
      </c>
      <c r="B28" s="238" t="s">
        <v>74</v>
      </c>
      <c r="C28" s="239" t="s">
        <v>57</v>
      </c>
      <c r="D28" s="240">
        <v>1</v>
      </c>
      <c r="E28" s="241">
        <v>0.15</v>
      </c>
      <c r="F28" s="242">
        <v>12</v>
      </c>
      <c r="G28" s="141">
        <f>(71500)*E28</f>
        <v>10725</v>
      </c>
      <c r="H28" s="141">
        <v>7000</v>
      </c>
      <c r="I28" s="125">
        <f>G28-H28</f>
        <v>3725</v>
      </c>
      <c r="J28" s="154">
        <f>3500</f>
        <v>3500</v>
      </c>
      <c r="K28" s="154">
        <f>3550</f>
        <v>3550</v>
      </c>
      <c r="L28" s="243">
        <f>SUM(J28:K28)</f>
        <v>7050</v>
      </c>
      <c r="M28" s="157">
        <f>IFERROR(L28/H28,"N/A")</f>
        <v>1.0071428571428571</v>
      </c>
      <c r="N28" s="244">
        <v>7050</v>
      </c>
    </row>
    <row r="29" spans="1:14" collapsed="1" x14ac:dyDescent="0.2">
      <c r="A29" s="237"/>
      <c r="B29" s="238"/>
      <c r="C29" s="239" t="s">
        <v>57</v>
      </c>
      <c r="D29" s="246">
        <f>SUM(D27:D28)</f>
        <v>2</v>
      </c>
      <c r="E29" s="247"/>
      <c r="F29" s="248"/>
      <c r="G29" s="141">
        <f t="shared" ref="G29:L29" si="10">SUM(G27:G28)</f>
        <v>37725</v>
      </c>
      <c r="H29" s="141">
        <f t="shared" si="10"/>
        <v>22000</v>
      </c>
      <c r="I29" s="125">
        <f t="shared" si="10"/>
        <v>15725</v>
      </c>
      <c r="J29" s="154">
        <f t="shared" si="10"/>
        <v>9433</v>
      </c>
      <c r="K29" s="154">
        <f t="shared" si="10"/>
        <v>13224.029999999999</v>
      </c>
      <c r="L29" s="243">
        <f t="shared" si="10"/>
        <v>22657.03</v>
      </c>
      <c r="M29" s="157">
        <f t="shared" ref="M29" si="11">IFERROR(L29/H29,"N/A")</f>
        <v>1.029865</v>
      </c>
      <c r="N29" s="244">
        <f>SUM(N27:N28)</f>
        <v>22657.03</v>
      </c>
    </row>
    <row r="30" spans="1:14" hidden="1" outlineLevel="1" x14ac:dyDescent="0.2">
      <c r="A30" s="237" t="s">
        <v>75</v>
      </c>
      <c r="B30" s="238" t="s">
        <v>76</v>
      </c>
      <c r="C30" s="239" t="s">
        <v>62</v>
      </c>
      <c r="D30" s="240">
        <v>1</v>
      </c>
      <c r="E30" s="241">
        <v>0.25</v>
      </c>
      <c r="F30" s="242">
        <v>12</v>
      </c>
      <c r="G30" s="141">
        <v>19688</v>
      </c>
      <c r="H30" s="141">
        <v>19688</v>
      </c>
      <c r="I30" s="125">
        <f>G30-H30</f>
        <v>0</v>
      </c>
      <c r="J30" s="154">
        <f>12712.5-4000</f>
        <v>8712.5</v>
      </c>
      <c r="K30" s="154">
        <f>18918-J30</f>
        <v>10205.5</v>
      </c>
      <c r="L30" s="243">
        <f>SUM(J30:K30)</f>
        <v>18918</v>
      </c>
      <c r="M30" s="157">
        <f>IFERROR(L30/H30,"N/A")</f>
        <v>0.96088988216172289</v>
      </c>
      <c r="N30" s="244">
        <v>18918</v>
      </c>
    </row>
    <row r="31" spans="1:14" hidden="1" outlineLevel="1" x14ac:dyDescent="0.2">
      <c r="A31" s="237" t="s">
        <v>77</v>
      </c>
      <c r="B31" s="238" t="s">
        <v>78</v>
      </c>
      <c r="C31" s="239" t="s">
        <v>62</v>
      </c>
      <c r="D31" s="240">
        <v>1</v>
      </c>
      <c r="E31" s="241">
        <v>0.15</v>
      </c>
      <c r="F31" s="242">
        <v>12</v>
      </c>
      <c r="G31" s="141">
        <v>20000</v>
      </c>
      <c r="H31" s="141">
        <v>20000</v>
      </c>
      <c r="I31" s="125">
        <f>G31-H31</f>
        <v>0</v>
      </c>
      <c r="J31" s="154">
        <f>11978-3000</f>
        <v>8978</v>
      </c>
      <c r="K31" s="154">
        <f>19178.58-J31</f>
        <v>10200.580000000002</v>
      </c>
      <c r="L31" s="243">
        <f>SUM(J31:K31)</f>
        <v>19178.580000000002</v>
      </c>
      <c r="M31" s="157">
        <f>IFERROR(L31/H31,"N/A")</f>
        <v>0.95892900000000014</v>
      </c>
      <c r="N31" s="244">
        <v>19178.580000000002</v>
      </c>
    </row>
    <row r="32" spans="1:14" hidden="1" outlineLevel="1" x14ac:dyDescent="0.2">
      <c r="A32" s="237" t="s">
        <v>79</v>
      </c>
      <c r="B32" s="238" t="s">
        <v>78</v>
      </c>
      <c r="C32" s="239" t="s">
        <v>62</v>
      </c>
      <c r="D32" s="240">
        <v>1</v>
      </c>
      <c r="E32" s="241">
        <v>0.15</v>
      </c>
      <c r="F32" s="242">
        <v>12</v>
      </c>
      <c r="G32" s="141">
        <v>7800</v>
      </c>
      <c r="H32" s="141">
        <v>3000</v>
      </c>
      <c r="I32" s="125">
        <f>G32-H32</f>
        <v>4800</v>
      </c>
      <c r="J32" s="154">
        <f>3000</f>
        <v>3000</v>
      </c>
      <c r="K32" s="154">
        <f>3000-J32</f>
        <v>0</v>
      </c>
      <c r="L32" s="243">
        <f>SUM(J32:K32)</f>
        <v>3000</v>
      </c>
      <c r="M32" s="157">
        <f>IFERROR(L32/H32,"N/A")</f>
        <v>1</v>
      </c>
      <c r="N32" s="244">
        <v>3000</v>
      </c>
    </row>
    <row r="33" spans="1:14" hidden="1" outlineLevel="1" x14ac:dyDescent="0.2">
      <c r="A33" s="237" t="s">
        <v>80</v>
      </c>
      <c r="B33" s="238" t="s">
        <v>78</v>
      </c>
      <c r="C33" s="239" t="s">
        <v>62</v>
      </c>
      <c r="D33" s="240">
        <v>1</v>
      </c>
      <c r="E33" s="241">
        <v>0.15</v>
      </c>
      <c r="F33" s="242">
        <v>12</v>
      </c>
      <c r="G33" s="141">
        <v>7176</v>
      </c>
      <c r="H33" s="141">
        <v>3000</v>
      </c>
      <c r="I33" s="125">
        <f>G33-H33</f>
        <v>4176</v>
      </c>
      <c r="J33" s="154">
        <f>3200</f>
        <v>3200</v>
      </c>
      <c r="K33" s="154">
        <f>3200-J33</f>
        <v>0</v>
      </c>
      <c r="L33" s="243">
        <f>SUM(J33:K33)</f>
        <v>3200</v>
      </c>
      <c r="M33" s="157">
        <f>IFERROR(L33/H33,"N/A")</f>
        <v>1.0666666666666667</v>
      </c>
      <c r="N33" s="244">
        <v>3200</v>
      </c>
    </row>
    <row r="34" spans="1:14" hidden="1" outlineLevel="1" x14ac:dyDescent="0.2">
      <c r="A34" s="237" t="s">
        <v>81</v>
      </c>
      <c r="B34" s="238" t="s">
        <v>82</v>
      </c>
      <c r="C34" s="245" t="s">
        <v>62</v>
      </c>
      <c r="D34" s="240">
        <v>1</v>
      </c>
      <c r="E34" s="241">
        <v>0.25</v>
      </c>
      <c r="F34" s="242">
        <v>9</v>
      </c>
      <c r="G34" s="141">
        <v>16380</v>
      </c>
      <c r="H34" s="141">
        <v>2500</v>
      </c>
      <c r="I34" s="125">
        <f>G34-H34</f>
        <v>13880</v>
      </c>
      <c r="J34" s="154">
        <f>1011+1500</f>
        <v>2511</v>
      </c>
      <c r="K34" s="154">
        <f>2511.25-J34</f>
        <v>0.25</v>
      </c>
      <c r="L34" s="243">
        <f>SUM(J34:K34)</f>
        <v>2511.25</v>
      </c>
      <c r="M34" s="157">
        <f>IFERROR(L34/H34,"N/A")</f>
        <v>1.0044999999999999</v>
      </c>
      <c r="N34" s="244">
        <v>2511.25</v>
      </c>
    </row>
    <row r="35" spans="1:14" hidden="1" outlineLevel="1" x14ac:dyDescent="0.2">
      <c r="A35" s="237" t="s">
        <v>83</v>
      </c>
      <c r="B35" s="238" t="s">
        <v>82</v>
      </c>
      <c r="C35" s="245" t="s">
        <v>62</v>
      </c>
      <c r="D35" s="246">
        <v>1</v>
      </c>
      <c r="E35" s="247">
        <v>0.3</v>
      </c>
      <c r="F35" s="248">
        <v>12</v>
      </c>
      <c r="G35" s="141">
        <v>13728</v>
      </c>
      <c r="H35" s="141">
        <v>8000</v>
      </c>
      <c r="I35" s="125">
        <f>G35-H35</f>
        <v>5728</v>
      </c>
      <c r="J35" s="154">
        <f>5000</f>
        <v>5000</v>
      </c>
      <c r="K35" s="154">
        <f>3000</f>
        <v>3000</v>
      </c>
      <c r="L35" s="243">
        <f>SUM(J35:K35)</f>
        <v>8000</v>
      </c>
      <c r="M35" s="157">
        <f>IFERROR(L35/H35,"N/A")</f>
        <v>1</v>
      </c>
      <c r="N35" s="244">
        <v>8000</v>
      </c>
    </row>
    <row r="36" spans="1:14" hidden="1" outlineLevel="1" x14ac:dyDescent="0.2">
      <c r="A36" s="237" t="s">
        <v>86</v>
      </c>
      <c r="B36" s="238" t="s">
        <v>82</v>
      </c>
      <c r="C36" s="245" t="s">
        <v>62</v>
      </c>
      <c r="D36" s="246">
        <v>1</v>
      </c>
      <c r="E36" s="247">
        <v>0.25</v>
      </c>
      <c r="F36" s="248">
        <v>9</v>
      </c>
      <c r="G36" s="141">
        <v>9500</v>
      </c>
      <c r="H36" s="141">
        <v>9500</v>
      </c>
      <c r="I36" s="125">
        <f>G36-H36</f>
        <v>0</v>
      </c>
      <c r="J36" s="154">
        <f>1000</f>
        <v>1000</v>
      </c>
      <c r="K36" s="154">
        <f>10365.9-1000-J36</f>
        <v>8365.9</v>
      </c>
      <c r="L36" s="243">
        <f>SUM(J36:K36)</f>
        <v>9365.9</v>
      </c>
      <c r="M36" s="157">
        <f>IFERROR(L36/H36,"N/A")</f>
        <v>0.9858842105263157</v>
      </c>
      <c r="N36" s="244">
        <v>9365.9</v>
      </c>
    </row>
    <row r="37" spans="1:14" collapsed="1" x14ac:dyDescent="0.2">
      <c r="A37" s="237"/>
      <c r="B37" s="238"/>
      <c r="C37" s="239" t="s">
        <v>62</v>
      </c>
      <c r="D37" s="246">
        <f>SUM(D30:D36)</f>
        <v>7</v>
      </c>
      <c r="E37" s="247"/>
      <c r="F37" s="248"/>
      <c r="G37" s="141">
        <f t="shared" ref="G37:L37" si="12">SUM(G30:G36)</f>
        <v>94272</v>
      </c>
      <c r="H37" s="141">
        <f t="shared" si="12"/>
        <v>65688</v>
      </c>
      <c r="I37" s="125">
        <f t="shared" si="12"/>
        <v>28584</v>
      </c>
      <c r="J37" s="154">
        <f t="shared" si="12"/>
        <v>32401.5</v>
      </c>
      <c r="K37" s="154">
        <f t="shared" si="12"/>
        <v>31772.230000000003</v>
      </c>
      <c r="L37" s="243">
        <f t="shared" si="12"/>
        <v>64173.73</v>
      </c>
      <c r="M37" s="157">
        <f t="shared" ref="M37" si="13">IFERROR(L37/H37,"N/A")</f>
        <v>0.97694753988551952</v>
      </c>
      <c r="N37" s="244">
        <f>SUM(N30:N36)</f>
        <v>64173.73</v>
      </c>
    </row>
    <row r="38" spans="1:14" hidden="1" outlineLevel="1" x14ac:dyDescent="0.2">
      <c r="A38" s="237" t="s">
        <v>84</v>
      </c>
      <c r="B38" s="238" t="s">
        <v>85</v>
      </c>
      <c r="C38" s="245" t="s">
        <v>60</v>
      </c>
      <c r="D38" s="240">
        <v>1</v>
      </c>
      <c r="E38" s="241">
        <v>0.2</v>
      </c>
      <c r="F38" s="242">
        <v>12</v>
      </c>
      <c r="G38" s="141">
        <v>12000</v>
      </c>
      <c r="H38" s="141">
        <v>12000</v>
      </c>
      <c r="I38" s="125">
        <f>G38-H38</f>
        <v>0</v>
      </c>
      <c r="J38" s="154">
        <f>8162-2000</f>
        <v>6162</v>
      </c>
      <c r="K38" s="154">
        <f>14666.53-4000+1000-J38</f>
        <v>5504.5300000000007</v>
      </c>
      <c r="L38" s="243">
        <f>SUM(J38:K38)</f>
        <v>11666.53</v>
      </c>
      <c r="M38" s="157">
        <f>IFERROR(L38/H38,"N/A")</f>
        <v>0.97221083333333336</v>
      </c>
      <c r="N38" s="244">
        <v>11666.53</v>
      </c>
    </row>
    <row r="39" spans="1:14" collapsed="1" x14ac:dyDescent="0.2">
      <c r="A39" s="237"/>
      <c r="B39" s="238"/>
      <c r="C39" s="245" t="s">
        <v>60</v>
      </c>
      <c r="D39" s="246">
        <f>SUM(D38)</f>
        <v>1</v>
      </c>
      <c r="E39" s="247"/>
      <c r="F39" s="248"/>
      <c r="G39" s="141">
        <f t="shared" ref="G39:L39" si="14">SUM(G38)</f>
        <v>12000</v>
      </c>
      <c r="H39" s="141">
        <f t="shared" si="14"/>
        <v>12000</v>
      </c>
      <c r="I39" s="125">
        <f t="shared" si="14"/>
        <v>0</v>
      </c>
      <c r="J39" s="154">
        <f t="shared" si="14"/>
        <v>6162</v>
      </c>
      <c r="K39" s="154">
        <f t="shared" si="14"/>
        <v>5504.5300000000007</v>
      </c>
      <c r="L39" s="243">
        <f t="shared" si="14"/>
        <v>11666.53</v>
      </c>
      <c r="M39" s="157">
        <f t="shared" ref="M39" si="15">IFERROR(L39/H39,"N/A")</f>
        <v>0.97221083333333336</v>
      </c>
      <c r="N39" s="244">
        <f>SUM(N38)</f>
        <v>11666.53</v>
      </c>
    </row>
    <row r="40" spans="1:14" x14ac:dyDescent="0.2">
      <c r="A40" s="237"/>
      <c r="B40" s="238"/>
      <c r="C40" s="245"/>
      <c r="D40" s="246"/>
      <c r="E40" s="247"/>
      <c r="F40" s="248"/>
      <c r="G40" s="141">
        <v>0</v>
      </c>
      <c r="H40" s="141">
        <v>0</v>
      </c>
      <c r="I40" s="125">
        <f t="shared" ref="I40:I41" si="16">G40-H40</f>
        <v>0</v>
      </c>
      <c r="J40" s="154">
        <v>0</v>
      </c>
      <c r="K40" s="154">
        <v>0</v>
      </c>
      <c r="L40" s="243">
        <f t="shared" ref="L40:L41" si="17">SUM(J40:K40)</f>
        <v>0</v>
      </c>
      <c r="M40" s="157" t="str">
        <f t="shared" ref="M40:M41" si="18">IFERROR(L40/H40,"N/A")</f>
        <v>N/A</v>
      </c>
      <c r="N40" s="244">
        <v>0</v>
      </c>
    </row>
    <row r="41" spans="1:14" x14ac:dyDescent="0.2">
      <c r="A41" s="237"/>
      <c r="B41" s="238"/>
      <c r="C41" s="245"/>
      <c r="D41" s="246"/>
      <c r="E41" s="249"/>
      <c r="F41" s="248"/>
      <c r="G41" s="141">
        <v>0</v>
      </c>
      <c r="H41" s="141">
        <v>0</v>
      </c>
      <c r="I41" s="125">
        <f t="shared" si="16"/>
        <v>0</v>
      </c>
      <c r="J41" s="154">
        <v>0</v>
      </c>
      <c r="K41" s="154">
        <v>0</v>
      </c>
      <c r="L41" s="243">
        <f t="shared" si="17"/>
        <v>0</v>
      </c>
      <c r="M41" s="157" t="str">
        <f t="shared" si="18"/>
        <v>N/A</v>
      </c>
      <c r="N41" s="244">
        <v>0</v>
      </c>
    </row>
    <row r="42" spans="1:14" ht="13.5" thickBot="1" x14ac:dyDescent="0.25">
      <c r="A42" s="250"/>
      <c r="B42" s="251"/>
      <c r="C42" s="252" t="s">
        <v>87</v>
      </c>
      <c r="D42" s="343">
        <f>SUM(D39,D37,D29)</f>
        <v>10</v>
      </c>
      <c r="E42" s="253"/>
      <c r="F42" s="254"/>
      <c r="G42" s="119">
        <f t="shared" ref="G42:L42" si="19">SUM(G39,G37,G29)</f>
        <v>143997</v>
      </c>
      <c r="H42" s="119">
        <f t="shared" si="19"/>
        <v>99688</v>
      </c>
      <c r="I42" s="119">
        <f t="shared" si="19"/>
        <v>44309</v>
      </c>
      <c r="J42" s="119">
        <f t="shared" si="19"/>
        <v>47996.5</v>
      </c>
      <c r="K42" s="119">
        <f t="shared" si="19"/>
        <v>50500.79</v>
      </c>
      <c r="L42" s="119">
        <f t="shared" si="19"/>
        <v>98497.290000000008</v>
      </c>
      <c r="M42" s="104">
        <f t="shared" ref="M42" si="20">IFERROR(L42/H42,"N/A")</f>
        <v>0.98805563357675952</v>
      </c>
      <c r="N42" s="120">
        <f>SUM(N39,N37,N29)</f>
        <v>98497.290000000008</v>
      </c>
    </row>
    <row r="43" spans="1:14" ht="13.5" thickBot="1" x14ac:dyDescent="0.25"/>
    <row r="44" spans="1:14" x14ac:dyDescent="0.2">
      <c r="A44" s="255" t="s">
        <v>88</v>
      </c>
      <c r="B44" s="256"/>
      <c r="C44" s="256"/>
      <c r="D44" s="256"/>
      <c r="E44" s="256"/>
      <c r="F44" s="257"/>
      <c r="G44" s="258"/>
      <c r="H44" s="258"/>
      <c r="I44" s="258"/>
      <c r="J44" s="258"/>
      <c r="K44" s="258"/>
      <c r="L44" s="258"/>
      <c r="M44" s="73"/>
      <c r="N44" s="72"/>
    </row>
    <row r="45" spans="1:14" s="233" customFormat="1" ht="11.25" x14ac:dyDescent="0.2">
      <c r="A45" s="259" t="s">
        <v>89</v>
      </c>
      <c r="B45" s="230"/>
      <c r="C45" s="230"/>
      <c r="D45" s="230"/>
      <c r="E45" s="230"/>
      <c r="F45" s="231"/>
      <c r="G45" s="232"/>
      <c r="H45" s="232"/>
      <c r="I45" s="232"/>
      <c r="J45" s="232"/>
      <c r="K45" s="232"/>
      <c r="L45" s="232"/>
      <c r="M45" s="75"/>
      <c r="N45" s="74"/>
    </row>
    <row r="46" spans="1:14" ht="33.75" x14ac:dyDescent="0.2">
      <c r="A46" s="260" t="s">
        <v>90</v>
      </c>
      <c r="B46" s="261"/>
      <c r="C46" s="262"/>
      <c r="D46" s="262"/>
      <c r="E46" s="262"/>
      <c r="F46" s="262"/>
      <c r="G46" s="236" t="s">
        <v>39</v>
      </c>
      <c r="H46" s="236" t="s">
        <v>40</v>
      </c>
      <c r="I46" s="236" t="s">
        <v>41</v>
      </c>
      <c r="J46" s="236" t="s">
        <v>42</v>
      </c>
      <c r="K46" s="236" t="s">
        <v>43</v>
      </c>
      <c r="L46" s="236" t="s">
        <v>44</v>
      </c>
      <c r="M46" s="90" t="s">
        <v>45</v>
      </c>
      <c r="N46" s="91" t="s">
        <v>46</v>
      </c>
    </row>
    <row r="47" spans="1:14" x14ac:dyDescent="0.2">
      <c r="A47" s="263" t="s">
        <v>91</v>
      </c>
      <c r="B47" s="264"/>
      <c r="C47" s="264"/>
      <c r="D47" s="265"/>
      <c r="E47" s="142">
        <v>7.6499999999999999E-2</v>
      </c>
      <c r="F47" s="266"/>
      <c r="G47" s="143">
        <f>$G$42*E47</f>
        <v>11015.770500000001</v>
      </c>
      <c r="H47" s="143">
        <f>$H$42*E47</f>
        <v>7626.1319999999996</v>
      </c>
      <c r="I47" s="121">
        <f t="shared" ref="I47" si="21">G47-H47</f>
        <v>3389.6385000000009</v>
      </c>
      <c r="J47" s="154">
        <v>3570</v>
      </c>
      <c r="K47" s="154">
        <f>7331.04-J47</f>
        <v>3761.04</v>
      </c>
      <c r="L47" s="121">
        <f>SUM(J47:K47)</f>
        <v>7331.04</v>
      </c>
      <c r="M47" s="84">
        <f>IFERROR(L47/H47,"N/A")</f>
        <v>0.96130515443477771</v>
      </c>
      <c r="N47" s="244">
        <v>7331.04</v>
      </c>
    </row>
    <row r="48" spans="1:14" x14ac:dyDescent="0.2">
      <c r="A48" s="267" t="s">
        <v>92</v>
      </c>
      <c r="B48" s="264"/>
      <c r="C48" s="144"/>
      <c r="D48" s="265"/>
      <c r="E48" s="142">
        <v>0.01</v>
      </c>
      <c r="F48" s="266"/>
      <c r="G48" s="143">
        <f t="shared" ref="G48:G51" si="22">$G$42*E48</f>
        <v>1439.97</v>
      </c>
      <c r="H48" s="143">
        <f t="shared" ref="H48:H51" si="23">$H$42*E48</f>
        <v>996.88</v>
      </c>
      <c r="I48" s="125">
        <f t="shared" ref="I48:I53" si="24">G48-H48</f>
        <v>443.09000000000003</v>
      </c>
      <c r="J48" s="154">
        <v>325</v>
      </c>
      <c r="K48" s="156">
        <f>770.92-J48</f>
        <v>445.91999999999996</v>
      </c>
      <c r="L48" s="125">
        <f t="shared" ref="L48:L53" si="25">SUM(J48:K48)</f>
        <v>770.92</v>
      </c>
      <c r="M48" s="83">
        <f t="shared" ref="M48:M53" si="26">IFERROR(L48/H48,"N/A")</f>
        <v>0.77333279833079205</v>
      </c>
      <c r="N48" s="244">
        <v>770.92</v>
      </c>
    </row>
    <row r="49" spans="1:14" x14ac:dyDescent="0.2">
      <c r="A49" s="267" t="s">
        <v>93</v>
      </c>
      <c r="B49" s="264"/>
      <c r="C49" s="144"/>
      <c r="D49" s="265"/>
      <c r="E49" s="142">
        <v>8.5000000000000006E-3</v>
      </c>
      <c r="F49" s="266"/>
      <c r="G49" s="143">
        <f t="shared" si="22"/>
        <v>1223.9745</v>
      </c>
      <c r="H49" s="143">
        <f t="shared" si="23"/>
        <v>847.34800000000007</v>
      </c>
      <c r="I49" s="125">
        <f t="shared" si="24"/>
        <v>376.62649999999996</v>
      </c>
      <c r="J49" s="154">
        <v>182</v>
      </c>
      <c r="K49" s="156">
        <f>245.96-J49</f>
        <v>63.960000000000008</v>
      </c>
      <c r="L49" s="125">
        <f t="shared" si="25"/>
        <v>245.96</v>
      </c>
      <c r="M49" s="83">
        <f t="shared" si="26"/>
        <v>0.29027034937239482</v>
      </c>
      <c r="N49" s="244">
        <v>245.96</v>
      </c>
    </row>
    <row r="50" spans="1:14" x14ac:dyDescent="0.2">
      <c r="A50" s="267" t="s">
        <v>94</v>
      </c>
      <c r="B50" s="264"/>
      <c r="C50" s="144"/>
      <c r="D50" s="265"/>
      <c r="E50" s="142">
        <v>0.05</v>
      </c>
      <c r="F50" s="266"/>
      <c r="G50" s="143">
        <f t="shared" si="22"/>
        <v>7199.85</v>
      </c>
      <c r="H50" s="143">
        <f t="shared" si="23"/>
        <v>4984.4000000000005</v>
      </c>
      <c r="I50" s="125">
        <f t="shared" si="24"/>
        <v>2215.4499999999998</v>
      </c>
      <c r="J50" s="154">
        <v>2925</v>
      </c>
      <c r="K50" s="156">
        <f>6422.7-1250+7-J50</f>
        <v>2254.6999999999998</v>
      </c>
      <c r="L50" s="125">
        <f t="shared" si="25"/>
        <v>5179.7</v>
      </c>
      <c r="M50" s="83">
        <f t="shared" si="26"/>
        <v>1.0391822486156808</v>
      </c>
      <c r="N50" s="244">
        <v>5179.7</v>
      </c>
    </row>
    <row r="51" spans="1:14" x14ac:dyDescent="0.2">
      <c r="A51" s="267" t="s">
        <v>95</v>
      </c>
      <c r="B51" s="264"/>
      <c r="C51" s="144"/>
      <c r="D51" s="265"/>
      <c r="E51" s="142">
        <v>5.0000000000000001E-3</v>
      </c>
      <c r="F51" s="266"/>
      <c r="G51" s="143">
        <f t="shared" si="22"/>
        <v>719.98500000000001</v>
      </c>
      <c r="H51" s="143">
        <f t="shared" si="23"/>
        <v>498.44</v>
      </c>
      <c r="I51" s="125">
        <f t="shared" si="24"/>
        <v>221.54500000000002</v>
      </c>
      <c r="J51" s="154">
        <v>607</v>
      </c>
      <c r="K51" s="156">
        <f>1299.36-J51</f>
        <v>692.3599999999999</v>
      </c>
      <c r="L51" s="125">
        <f t="shared" si="25"/>
        <v>1299.3599999999999</v>
      </c>
      <c r="M51" s="83">
        <f t="shared" si="26"/>
        <v>2.6068533825535671</v>
      </c>
      <c r="N51" s="244">
        <v>1299.3599999999999</v>
      </c>
    </row>
    <row r="52" spans="1:14" x14ac:dyDescent="0.2">
      <c r="A52" s="267"/>
      <c r="B52" s="264"/>
      <c r="C52" s="144"/>
      <c r="D52" s="265"/>
      <c r="E52" s="268"/>
      <c r="F52" s="266"/>
      <c r="G52" s="143">
        <v>0</v>
      </c>
      <c r="H52" s="143">
        <v>0</v>
      </c>
      <c r="I52" s="125">
        <f t="shared" si="24"/>
        <v>0</v>
      </c>
      <c r="J52" s="154">
        <v>0</v>
      </c>
      <c r="K52" s="156">
        <v>0</v>
      </c>
      <c r="L52" s="125">
        <f t="shared" si="25"/>
        <v>0</v>
      </c>
      <c r="M52" s="83" t="str">
        <f t="shared" si="26"/>
        <v>N/A</v>
      </c>
      <c r="N52" s="244">
        <f t="shared" ref="N52" si="27">J52</f>
        <v>0</v>
      </c>
    </row>
    <row r="53" spans="1:14" x14ac:dyDescent="0.2">
      <c r="A53" s="269"/>
      <c r="B53" s="264"/>
      <c r="C53" s="153"/>
      <c r="D53" s="270"/>
      <c r="E53" s="271"/>
      <c r="F53" s="266"/>
      <c r="G53" s="143">
        <v>0</v>
      </c>
      <c r="H53" s="143">
        <v>0</v>
      </c>
      <c r="I53" s="125">
        <f t="shared" si="24"/>
        <v>0</v>
      </c>
      <c r="J53" s="154">
        <v>0</v>
      </c>
      <c r="K53" s="156">
        <v>0</v>
      </c>
      <c r="L53" s="125">
        <f t="shared" si="25"/>
        <v>0</v>
      </c>
      <c r="M53" s="83" t="str">
        <f t="shared" si="26"/>
        <v>N/A</v>
      </c>
      <c r="N53" s="272">
        <v>0</v>
      </c>
    </row>
    <row r="54" spans="1:14" ht="13.5" thickBot="1" x14ac:dyDescent="0.25">
      <c r="A54" s="224"/>
      <c r="B54" s="221"/>
      <c r="C54" s="273" t="s">
        <v>96</v>
      </c>
      <c r="D54" s="274"/>
      <c r="E54" s="274"/>
      <c r="F54" s="275"/>
      <c r="G54" s="126">
        <f t="shared" ref="G54:L54" si="28">SUM(G47:G53)</f>
        <v>21599.550000000003</v>
      </c>
      <c r="H54" s="126">
        <f t="shared" si="28"/>
        <v>14953.199999999999</v>
      </c>
      <c r="I54" s="126">
        <f t="shared" si="28"/>
        <v>6646.3500000000013</v>
      </c>
      <c r="J54" s="126">
        <f t="shared" si="28"/>
        <v>7609</v>
      </c>
      <c r="K54" s="126">
        <f t="shared" si="28"/>
        <v>7217.98</v>
      </c>
      <c r="L54" s="126">
        <f t="shared" si="28"/>
        <v>14826.98</v>
      </c>
      <c r="M54" s="92">
        <f>IFERROR(L54/H54,"N/A")</f>
        <v>0.99155899740523767</v>
      </c>
      <c r="N54" s="127">
        <f>SUM(N47:N53)</f>
        <v>14826.98</v>
      </c>
    </row>
    <row r="55" spans="1:14" ht="13.5" thickBot="1" x14ac:dyDescent="0.25"/>
    <row r="56" spans="1:14" s="233" customFormat="1" x14ac:dyDescent="0.2">
      <c r="A56" s="255" t="s">
        <v>97</v>
      </c>
      <c r="B56" s="256"/>
      <c r="C56" s="256"/>
      <c r="D56" s="256"/>
      <c r="E56" s="256"/>
      <c r="F56" s="257"/>
      <c r="G56" s="258"/>
      <c r="H56" s="258"/>
      <c r="I56" s="258"/>
      <c r="J56" s="258"/>
      <c r="K56" s="258"/>
      <c r="L56" s="258"/>
      <c r="M56" s="73"/>
      <c r="N56" s="72"/>
    </row>
    <row r="57" spans="1:14" s="233" customFormat="1" ht="11.25" x14ac:dyDescent="0.2">
      <c r="A57" s="259" t="s">
        <v>98</v>
      </c>
      <c r="B57" s="230"/>
      <c r="C57" s="230"/>
      <c r="D57" s="230"/>
      <c r="E57" s="230"/>
      <c r="F57" s="231"/>
      <c r="G57" s="232"/>
      <c r="H57" s="232"/>
      <c r="I57" s="232"/>
      <c r="J57" s="232"/>
      <c r="K57" s="232"/>
      <c r="L57" s="232"/>
      <c r="M57" s="75"/>
      <c r="N57" s="74"/>
    </row>
    <row r="58" spans="1:14" ht="33.75" x14ac:dyDescent="0.2">
      <c r="A58" s="260" t="s">
        <v>90</v>
      </c>
      <c r="B58" s="261"/>
      <c r="C58" s="262"/>
      <c r="D58" s="262"/>
      <c r="E58" s="262"/>
      <c r="F58" s="262"/>
      <c r="G58" s="236" t="s">
        <v>39</v>
      </c>
      <c r="H58" s="236" t="s">
        <v>40</v>
      </c>
      <c r="I58" s="236" t="s">
        <v>41</v>
      </c>
      <c r="J58" s="236" t="s">
        <v>42</v>
      </c>
      <c r="K58" s="236" t="s">
        <v>43</v>
      </c>
      <c r="L58" s="236" t="s">
        <v>44</v>
      </c>
      <c r="M58" s="90" t="s">
        <v>45</v>
      </c>
      <c r="N58" s="91" t="s">
        <v>46</v>
      </c>
    </row>
    <row r="59" spans="1:14" x14ac:dyDescent="0.2">
      <c r="A59" s="276" t="s">
        <v>99</v>
      </c>
      <c r="B59" s="277"/>
      <c r="C59" s="145"/>
      <c r="D59" s="278"/>
      <c r="E59" s="279"/>
      <c r="F59" s="266"/>
      <c r="G59" s="146">
        <f>(69.91*2.3)*12</f>
        <v>1929.5159999999996</v>
      </c>
      <c r="H59" s="141">
        <v>1552</v>
      </c>
      <c r="I59" s="121">
        <f>G59-H59</f>
        <v>377.51599999999962</v>
      </c>
      <c r="J59" s="154">
        <f>1120</f>
        <v>1120</v>
      </c>
      <c r="K59" s="154">
        <f>1441.23-J59</f>
        <v>321.23</v>
      </c>
      <c r="L59" s="121">
        <f>SUM(J59:K59)</f>
        <v>1441.23</v>
      </c>
      <c r="M59" s="84">
        <f>IFERROR(L59/H59,"N/A")</f>
        <v>0.92862757731958767</v>
      </c>
      <c r="N59" s="244">
        <v>1441.23</v>
      </c>
    </row>
    <row r="60" spans="1:14" x14ac:dyDescent="0.2">
      <c r="A60" s="280" t="s">
        <v>100</v>
      </c>
      <c r="B60" s="277"/>
      <c r="C60" s="145"/>
      <c r="D60" s="278"/>
      <c r="E60" s="279"/>
      <c r="F60" s="266"/>
      <c r="G60" s="146">
        <f>(22.25*2.3)*12</f>
        <v>614.09999999999991</v>
      </c>
      <c r="H60" s="146">
        <f>(22.25*1.85)*12</f>
        <v>493.95000000000005</v>
      </c>
      <c r="I60" s="125">
        <f t="shared" ref="I60:I64" si="29">G60-H60</f>
        <v>120.14999999999986</v>
      </c>
      <c r="J60" s="154">
        <v>273</v>
      </c>
      <c r="K60" s="156">
        <f>590.33-J60</f>
        <v>317.33000000000004</v>
      </c>
      <c r="L60" s="125">
        <f t="shared" ref="L60:L64" si="30">SUM(J60:K60)</f>
        <v>590.33000000000004</v>
      </c>
      <c r="M60" s="83">
        <f t="shared" ref="M60:M64" si="31">IFERROR(L60/H60,"N/A")</f>
        <v>1.1951209636602895</v>
      </c>
      <c r="N60" s="244">
        <v>590.33000000000004</v>
      </c>
    </row>
    <row r="61" spans="1:14" x14ac:dyDescent="0.2">
      <c r="A61" s="281" t="s">
        <v>101</v>
      </c>
      <c r="B61" s="277"/>
      <c r="C61" s="145"/>
      <c r="D61" s="278"/>
      <c r="E61" s="279"/>
      <c r="F61" s="266"/>
      <c r="G61" s="143">
        <v>90000</v>
      </c>
      <c r="H61" s="143">
        <v>90000</v>
      </c>
      <c r="I61" s="128">
        <f t="shared" si="29"/>
        <v>0</v>
      </c>
      <c r="J61" s="155">
        <f>40802.15</f>
        <v>40802.15</v>
      </c>
      <c r="K61" s="282">
        <f>90625.97-J61</f>
        <v>49823.82</v>
      </c>
      <c r="L61" s="158">
        <f t="shared" si="30"/>
        <v>90625.97</v>
      </c>
      <c r="M61" s="83">
        <f t="shared" si="31"/>
        <v>1.0069552222222222</v>
      </c>
      <c r="N61" s="272">
        <f>90626+3000</f>
        <v>93626</v>
      </c>
    </row>
    <row r="62" spans="1:14" x14ac:dyDescent="0.2">
      <c r="A62" s="283" t="s">
        <v>102</v>
      </c>
      <c r="B62" s="277"/>
      <c r="C62" s="145"/>
      <c r="D62" s="278"/>
      <c r="E62" s="279"/>
      <c r="F62" s="266"/>
      <c r="G62" s="143">
        <v>0</v>
      </c>
      <c r="H62" s="143">
        <v>0</v>
      </c>
      <c r="I62" s="128">
        <f t="shared" si="29"/>
        <v>0</v>
      </c>
      <c r="J62" s="155">
        <v>0</v>
      </c>
      <c r="K62" s="155">
        <v>0</v>
      </c>
      <c r="L62" s="125">
        <f t="shared" si="30"/>
        <v>0</v>
      </c>
      <c r="M62" s="83" t="str">
        <f t="shared" si="31"/>
        <v>N/A</v>
      </c>
      <c r="N62" s="272">
        <v>0</v>
      </c>
    </row>
    <row r="63" spans="1:14" x14ac:dyDescent="0.2">
      <c r="A63" s="280"/>
      <c r="B63" s="277"/>
      <c r="C63" s="145"/>
      <c r="D63" s="278"/>
      <c r="E63" s="279"/>
      <c r="F63" s="266"/>
      <c r="G63" s="143">
        <v>0</v>
      </c>
      <c r="H63" s="143">
        <v>0</v>
      </c>
      <c r="I63" s="128">
        <f t="shared" si="29"/>
        <v>0</v>
      </c>
      <c r="J63" s="155">
        <v>0</v>
      </c>
      <c r="K63" s="155">
        <v>0</v>
      </c>
      <c r="L63" s="125">
        <f t="shared" si="30"/>
        <v>0</v>
      </c>
      <c r="M63" s="83" t="str">
        <f t="shared" si="31"/>
        <v>N/A</v>
      </c>
      <c r="N63" s="272">
        <v>0</v>
      </c>
    </row>
    <row r="64" spans="1:14" x14ac:dyDescent="0.2">
      <c r="A64" s="280"/>
      <c r="B64" s="277"/>
      <c r="C64" s="145"/>
      <c r="D64" s="278"/>
      <c r="E64" s="279"/>
      <c r="F64" s="266"/>
      <c r="G64" s="143">
        <v>0</v>
      </c>
      <c r="H64" s="143">
        <v>0</v>
      </c>
      <c r="I64" s="128">
        <f t="shared" si="29"/>
        <v>0</v>
      </c>
      <c r="J64" s="155">
        <v>0</v>
      </c>
      <c r="K64" s="155">
        <v>0</v>
      </c>
      <c r="L64" s="125">
        <f t="shared" si="30"/>
        <v>0</v>
      </c>
      <c r="M64" s="83" t="str">
        <f t="shared" si="31"/>
        <v>N/A</v>
      </c>
      <c r="N64" s="272">
        <v>0</v>
      </c>
    </row>
    <row r="65" spans="1:14" ht="13.5" thickBot="1" x14ac:dyDescent="0.25">
      <c r="A65" s="224"/>
      <c r="B65" s="221"/>
      <c r="C65" s="273" t="s">
        <v>103</v>
      </c>
      <c r="D65" s="274"/>
      <c r="E65" s="274"/>
      <c r="F65" s="275"/>
      <c r="G65" s="126">
        <f t="shared" ref="G65:L65" si="32">SUM(G59:G64)</f>
        <v>92543.615999999995</v>
      </c>
      <c r="H65" s="126">
        <f t="shared" si="32"/>
        <v>92045.95</v>
      </c>
      <c r="I65" s="126">
        <f t="shared" si="32"/>
        <v>497.66599999999949</v>
      </c>
      <c r="J65" s="126">
        <f t="shared" si="32"/>
        <v>42195.15</v>
      </c>
      <c r="K65" s="126">
        <f t="shared" si="32"/>
        <v>50462.38</v>
      </c>
      <c r="L65" s="126">
        <f t="shared" si="32"/>
        <v>92657.53</v>
      </c>
      <c r="M65" s="92">
        <f>IFERROR(L65/H65,"N/A")</f>
        <v>1.0066442901615986</v>
      </c>
      <c r="N65" s="127">
        <f>SUM(N59:N64)</f>
        <v>95657.56</v>
      </c>
    </row>
    <row r="66" spans="1:14" ht="13.5" thickBot="1" x14ac:dyDescent="0.25"/>
    <row r="67" spans="1:14" s="233" customFormat="1" x14ac:dyDescent="0.2">
      <c r="A67" s="284" t="s">
        <v>104</v>
      </c>
      <c r="B67" s="256"/>
      <c r="C67" s="256"/>
      <c r="D67" s="256"/>
      <c r="E67" s="256"/>
      <c r="F67" s="257"/>
      <c r="G67" s="258"/>
      <c r="H67" s="258"/>
      <c r="I67" s="258"/>
      <c r="J67" s="258"/>
      <c r="K67" s="258"/>
      <c r="L67" s="258"/>
      <c r="M67" s="73"/>
      <c r="N67" s="72"/>
    </row>
    <row r="68" spans="1:14" x14ac:dyDescent="0.2">
      <c r="A68" s="259" t="s">
        <v>105</v>
      </c>
      <c r="B68" s="230"/>
      <c r="C68" s="230"/>
      <c r="D68" s="230"/>
      <c r="E68" s="230"/>
      <c r="F68" s="231"/>
      <c r="G68" s="232"/>
      <c r="H68" s="232"/>
      <c r="I68" s="232"/>
      <c r="J68" s="232"/>
      <c r="K68" s="232"/>
      <c r="L68" s="232"/>
      <c r="M68" s="75"/>
      <c r="N68" s="74"/>
    </row>
    <row r="69" spans="1:14" ht="33.75" x14ac:dyDescent="0.2">
      <c r="A69" s="260" t="s">
        <v>90</v>
      </c>
      <c r="B69" s="261"/>
      <c r="C69" s="262"/>
      <c r="D69" s="262"/>
      <c r="E69" s="262"/>
      <c r="F69" s="262"/>
      <c r="G69" s="236" t="s">
        <v>39</v>
      </c>
      <c r="H69" s="236" t="s">
        <v>40</v>
      </c>
      <c r="I69" s="236" t="s">
        <v>41</v>
      </c>
      <c r="J69" s="236" t="s">
        <v>42</v>
      </c>
      <c r="K69" s="236" t="s">
        <v>43</v>
      </c>
      <c r="L69" s="236" t="s">
        <v>44</v>
      </c>
      <c r="M69" s="90" t="s">
        <v>45</v>
      </c>
      <c r="N69" s="91" t="s">
        <v>46</v>
      </c>
    </row>
    <row r="70" spans="1:14" x14ac:dyDescent="0.2">
      <c r="A70" s="276" t="s">
        <v>106</v>
      </c>
      <c r="B70" s="277"/>
      <c r="C70" s="145"/>
      <c r="D70" s="278"/>
      <c r="E70" s="279"/>
      <c r="F70" s="266"/>
      <c r="G70" s="141">
        <f>105000*0.1042</f>
        <v>10941</v>
      </c>
      <c r="H70" s="141">
        <v>10941</v>
      </c>
      <c r="I70" s="121">
        <f t="shared" ref="I70:I86" si="33">G70-H70</f>
        <v>0</v>
      </c>
      <c r="J70" s="154">
        <v>5032</v>
      </c>
      <c r="K70" s="154">
        <f>11011.97-J70</f>
        <v>5979.9699999999993</v>
      </c>
      <c r="L70" s="121">
        <f>SUM(J70:K70)</f>
        <v>11011.97</v>
      </c>
      <c r="M70" s="84">
        <f>IFERROR(L70/H70,"N/A")</f>
        <v>1.0064866099990859</v>
      </c>
      <c r="N70" s="244">
        <v>11011.97</v>
      </c>
    </row>
    <row r="71" spans="1:14" x14ac:dyDescent="0.2">
      <c r="A71" s="280" t="s">
        <v>107</v>
      </c>
      <c r="B71" s="277"/>
      <c r="C71" s="145"/>
      <c r="D71" s="278"/>
      <c r="E71" s="279"/>
      <c r="F71" s="266"/>
      <c r="G71" s="141">
        <f>57200*0.1042</f>
        <v>5960.24</v>
      </c>
      <c r="H71" s="141">
        <f>57200*0.1042</f>
        <v>5960.24</v>
      </c>
      <c r="I71" s="125">
        <f t="shared" si="33"/>
        <v>0</v>
      </c>
      <c r="J71" s="154">
        <v>2626</v>
      </c>
      <c r="K71" s="156">
        <f>6052.4-J71</f>
        <v>3426.3999999999996</v>
      </c>
      <c r="L71" s="125">
        <f>SUM(J71:K71)</f>
        <v>6052.4</v>
      </c>
      <c r="M71" s="83">
        <f>IFERROR(L71/H71,"N/A")</f>
        <v>1.0154624645987409</v>
      </c>
      <c r="N71" s="244">
        <v>6052.4</v>
      </c>
    </row>
    <row r="72" spans="1:14" x14ac:dyDescent="0.2">
      <c r="A72" s="280" t="s">
        <v>108</v>
      </c>
      <c r="B72" s="277"/>
      <c r="C72" s="145"/>
      <c r="D72" s="278"/>
      <c r="E72" s="279"/>
      <c r="F72" s="266"/>
      <c r="G72" s="141">
        <v>2500</v>
      </c>
      <c r="H72" s="141">
        <v>2500</v>
      </c>
      <c r="I72" s="121">
        <f t="shared" si="33"/>
        <v>0</v>
      </c>
      <c r="J72" s="154">
        <f>2080+115</f>
        <v>2195</v>
      </c>
      <c r="K72" s="285">
        <f>3022.37-J72</f>
        <v>827.36999999999989</v>
      </c>
      <c r="L72" s="159">
        <f t="shared" ref="L72:L82" si="34">SUM(J72:K72)</f>
        <v>3022.37</v>
      </c>
      <c r="M72" s="84">
        <f t="shared" ref="M72:M82" si="35">IFERROR(L72/H72,"N/A")</f>
        <v>1.2089479999999999</v>
      </c>
      <c r="N72" s="244">
        <v>3022.37</v>
      </c>
    </row>
    <row r="73" spans="1:14" x14ac:dyDescent="0.2">
      <c r="A73" s="280" t="s">
        <v>109</v>
      </c>
      <c r="B73" s="277"/>
      <c r="C73" s="145"/>
      <c r="D73" s="278"/>
      <c r="E73" s="279"/>
      <c r="F73" s="266"/>
      <c r="G73" s="146">
        <f>(50*2.3)*12</f>
        <v>1379.9999999999998</v>
      </c>
      <c r="H73" s="141">
        <v>1110</v>
      </c>
      <c r="I73" s="121">
        <f t="shared" si="33"/>
        <v>269.99999999999977</v>
      </c>
      <c r="J73" s="154">
        <f>1045</f>
        <v>1045</v>
      </c>
      <c r="K73" s="154">
        <f>1583-J73</f>
        <v>538</v>
      </c>
      <c r="L73" s="121">
        <f t="shared" si="34"/>
        <v>1583</v>
      </c>
      <c r="M73" s="84">
        <f t="shared" si="35"/>
        <v>1.4261261261261262</v>
      </c>
      <c r="N73" s="244">
        <v>1583</v>
      </c>
    </row>
    <row r="74" spans="1:14" x14ac:dyDescent="0.2">
      <c r="A74" s="280" t="s">
        <v>110</v>
      </c>
      <c r="B74" s="277"/>
      <c r="C74" s="145"/>
      <c r="D74" s="278"/>
      <c r="E74" s="279"/>
      <c r="F74" s="266"/>
      <c r="G74" s="143">
        <v>300</v>
      </c>
      <c r="H74" s="141">
        <v>300</v>
      </c>
      <c r="I74" s="121">
        <f t="shared" si="33"/>
        <v>0</v>
      </c>
      <c r="J74" s="154">
        <f>136</f>
        <v>136</v>
      </c>
      <c r="K74" s="154">
        <f>135.89-J74</f>
        <v>-0.11000000000001364</v>
      </c>
      <c r="L74" s="121">
        <f t="shared" si="34"/>
        <v>135.88999999999999</v>
      </c>
      <c r="M74" s="84">
        <f t="shared" si="35"/>
        <v>0.45296666666666663</v>
      </c>
      <c r="N74" s="244">
        <v>135.88999999999999</v>
      </c>
    </row>
    <row r="75" spans="1:14" x14ac:dyDescent="0.2">
      <c r="A75" s="280" t="s">
        <v>111</v>
      </c>
      <c r="B75" s="277"/>
      <c r="C75" s="145"/>
      <c r="D75" s="278"/>
      <c r="E75" s="279"/>
      <c r="F75" s="266"/>
      <c r="G75" s="143">
        <f>360</f>
        <v>360</v>
      </c>
      <c r="H75" s="141">
        <v>0</v>
      </c>
      <c r="I75" s="128">
        <f t="shared" si="33"/>
        <v>360</v>
      </c>
      <c r="J75" s="155">
        <v>0</v>
      </c>
      <c r="K75" s="155">
        <v>0</v>
      </c>
      <c r="L75" s="125">
        <f t="shared" si="34"/>
        <v>0</v>
      </c>
      <c r="M75" s="83" t="str">
        <f t="shared" si="35"/>
        <v>N/A</v>
      </c>
      <c r="N75" s="244">
        <v>0</v>
      </c>
    </row>
    <row r="76" spans="1:14" x14ac:dyDescent="0.2">
      <c r="A76" s="280" t="s">
        <v>112</v>
      </c>
      <c r="B76" s="277"/>
      <c r="C76" s="145"/>
      <c r="D76" s="278"/>
      <c r="E76" s="279"/>
      <c r="F76" s="266"/>
      <c r="G76" s="143">
        <v>2400</v>
      </c>
      <c r="H76" s="143">
        <v>1400</v>
      </c>
      <c r="I76" s="128">
        <f t="shared" si="33"/>
        <v>1000</v>
      </c>
      <c r="J76" s="155">
        <f>727.52+85.9</f>
        <v>813.42</v>
      </c>
      <c r="K76" s="155">
        <f>225.8+1646.43-J76</f>
        <v>1058.81</v>
      </c>
      <c r="L76" s="125">
        <f t="shared" si="34"/>
        <v>1872.23</v>
      </c>
      <c r="M76" s="83">
        <f t="shared" si="35"/>
        <v>1.3373071428571428</v>
      </c>
      <c r="N76" s="244">
        <v>1872.23</v>
      </c>
    </row>
    <row r="77" spans="1:14" x14ac:dyDescent="0.2">
      <c r="A77" s="280" t="s">
        <v>113</v>
      </c>
      <c r="B77" s="277"/>
      <c r="C77" s="145"/>
      <c r="D77" s="278"/>
      <c r="E77" s="279"/>
      <c r="F77" s="266"/>
      <c r="G77" s="146">
        <f>(53.39*2.3)*12</f>
        <v>1473.5639999999999</v>
      </c>
      <c r="H77" s="143">
        <v>1185</v>
      </c>
      <c r="I77" s="128">
        <f t="shared" si="33"/>
        <v>288.56399999999985</v>
      </c>
      <c r="J77" s="155">
        <f>881</f>
        <v>881</v>
      </c>
      <c r="K77" s="155">
        <f>2076.6-J77</f>
        <v>1195.5999999999999</v>
      </c>
      <c r="L77" s="125">
        <f t="shared" si="34"/>
        <v>2076.6</v>
      </c>
      <c r="M77" s="83">
        <f t="shared" si="35"/>
        <v>1.7524050632911392</v>
      </c>
      <c r="N77" s="244">
        <v>2076.6</v>
      </c>
    </row>
    <row r="78" spans="1:14" x14ac:dyDescent="0.2">
      <c r="A78" s="280" t="s">
        <v>114</v>
      </c>
      <c r="B78" s="277"/>
      <c r="C78" s="145"/>
      <c r="D78" s="278"/>
      <c r="E78" s="279"/>
      <c r="F78" s="266"/>
      <c r="G78" s="143">
        <v>132</v>
      </c>
      <c r="H78" s="143">
        <f>132-66</f>
        <v>66</v>
      </c>
      <c r="I78" s="128">
        <f t="shared" si="33"/>
        <v>66</v>
      </c>
      <c r="J78" s="155">
        <f>43</f>
        <v>43</v>
      </c>
      <c r="K78" s="155">
        <f>97.8-J78</f>
        <v>54.8</v>
      </c>
      <c r="L78" s="125">
        <f t="shared" si="34"/>
        <v>97.8</v>
      </c>
      <c r="M78" s="83">
        <f t="shared" si="35"/>
        <v>1.4818181818181817</v>
      </c>
      <c r="N78" s="244">
        <v>97.8</v>
      </c>
    </row>
    <row r="79" spans="1:14" x14ac:dyDescent="0.2">
      <c r="A79" s="280" t="s">
        <v>115</v>
      </c>
      <c r="B79" s="277"/>
      <c r="C79" s="145"/>
      <c r="D79" s="278"/>
      <c r="E79" s="279"/>
      <c r="F79" s="266"/>
      <c r="G79" s="143">
        <v>300</v>
      </c>
      <c r="H79" s="143">
        <v>0</v>
      </c>
      <c r="I79" s="128">
        <f t="shared" si="33"/>
        <v>300</v>
      </c>
      <c r="J79" s="155">
        <f>11</f>
        <v>11</v>
      </c>
      <c r="K79" s="155">
        <f>-11</f>
        <v>-11</v>
      </c>
      <c r="L79" s="125">
        <f t="shared" si="34"/>
        <v>0</v>
      </c>
      <c r="M79" s="83" t="str">
        <f t="shared" si="35"/>
        <v>N/A</v>
      </c>
      <c r="N79" s="244">
        <v>0</v>
      </c>
    </row>
    <row r="80" spans="1:14" x14ac:dyDescent="0.2">
      <c r="A80" s="280" t="s">
        <v>116</v>
      </c>
      <c r="B80" s="277"/>
      <c r="C80" s="145"/>
      <c r="D80" s="278"/>
      <c r="E80" s="279"/>
      <c r="F80" s="266"/>
      <c r="G80" s="143">
        <v>546</v>
      </c>
      <c r="H80" s="143">
        <v>429</v>
      </c>
      <c r="I80" s="128">
        <f t="shared" si="33"/>
        <v>117</v>
      </c>
      <c r="J80" s="155">
        <f>135</f>
        <v>135</v>
      </c>
      <c r="K80" s="155">
        <f>44.06+135.01-J80</f>
        <v>44.069999999999993</v>
      </c>
      <c r="L80" s="125">
        <f t="shared" si="34"/>
        <v>179.07</v>
      </c>
      <c r="M80" s="83">
        <f t="shared" si="35"/>
        <v>0.41741258741258741</v>
      </c>
      <c r="N80" s="244">
        <v>179.07</v>
      </c>
    </row>
    <row r="81" spans="1:14" x14ac:dyDescent="0.2">
      <c r="A81" s="280" t="s">
        <v>117</v>
      </c>
      <c r="B81" s="277"/>
      <c r="C81" s="145"/>
      <c r="D81" s="278"/>
      <c r="E81" s="279"/>
      <c r="F81" s="266"/>
      <c r="G81" s="143">
        <v>1200</v>
      </c>
      <c r="H81" s="143">
        <v>1200</v>
      </c>
      <c r="I81" s="121">
        <f t="shared" si="33"/>
        <v>0</v>
      </c>
      <c r="J81" s="154">
        <f>600</f>
        <v>600</v>
      </c>
      <c r="K81" s="154">
        <f>600-J81</f>
        <v>0</v>
      </c>
      <c r="L81" s="121">
        <f t="shared" si="34"/>
        <v>600</v>
      </c>
      <c r="M81" s="84">
        <f t="shared" si="35"/>
        <v>0.5</v>
      </c>
      <c r="N81" s="244">
        <v>600</v>
      </c>
    </row>
    <row r="82" spans="1:14" x14ac:dyDescent="0.2">
      <c r="A82" s="280" t="s">
        <v>118</v>
      </c>
      <c r="B82" s="277"/>
      <c r="C82" s="145"/>
      <c r="D82" s="278"/>
      <c r="E82" s="279"/>
      <c r="F82" s="266"/>
      <c r="G82" s="143">
        <v>203</v>
      </c>
      <c r="H82" s="143">
        <v>0</v>
      </c>
      <c r="I82" s="125">
        <f t="shared" si="33"/>
        <v>203</v>
      </c>
      <c r="J82" s="154">
        <f>104</f>
        <v>104</v>
      </c>
      <c r="K82" s="156">
        <f>418.1-J82</f>
        <v>314.10000000000002</v>
      </c>
      <c r="L82" s="125">
        <f t="shared" si="34"/>
        <v>418.1</v>
      </c>
      <c r="M82" s="83" t="str">
        <f t="shared" si="35"/>
        <v>N/A</v>
      </c>
      <c r="N82" s="244">
        <v>418.1</v>
      </c>
    </row>
    <row r="83" spans="1:14" x14ac:dyDescent="0.2">
      <c r="A83" s="280" t="s">
        <v>119</v>
      </c>
      <c r="B83" s="277"/>
      <c r="C83" s="145"/>
      <c r="D83" s="278"/>
      <c r="E83" s="279"/>
      <c r="F83" s="266"/>
      <c r="G83" s="143">
        <v>1500</v>
      </c>
      <c r="H83" s="141">
        <v>1500</v>
      </c>
      <c r="I83" s="121">
        <f t="shared" si="33"/>
        <v>0</v>
      </c>
      <c r="J83" s="154">
        <f>0</f>
        <v>0</v>
      </c>
      <c r="K83" s="154">
        <f>119.99-J83</f>
        <v>119.99</v>
      </c>
      <c r="L83" s="121">
        <f t="shared" ref="L83:L86" si="36">SUM(J83:K83)</f>
        <v>119.99</v>
      </c>
      <c r="M83" s="84">
        <f t="shared" ref="M83:M86" si="37">IFERROR(L83/H83,"N/A")</f>
        <v>7.9993333333333333E-2</v>
      </c>
      <c r="N83" s="244">
        <v>119.99</v>
      </c>
    </row>
    <row r="84" spans="1:14" x14ac:dyDescent="0.2">
      <c r="A84" s="280" t="s">
        <v>120</v>
      </c>
      <c r="B84" s="277"/>
      <c r="C84" s="145"/>
      <c r="D84" s="278"/>
      <c r="E84" s="279"/>
      <c r="F84" s="266"/>
      <c r="G84" s="147">
        <v>360</v>
      </c>
      <c r="H84" s="141">
        <v>127</v>
      </c>
      <c r="I84" s="121">
        <f t="shared" si="33"/>
        <v>233</v>
      </c>
      <c r="J84" s="154">
        <f>255</f>
        <v>255</v>
      </c>
      <c r="K84" s="154">
        <f>254.4-J84</f>
        <v>-0.59999999999999432</v>
      </c>
      <c r="L84" s="121">
        <f t="shared" si="36"/>
        <v>254.4</v>
      </c>
      <c r="M84" s="84">
        <f t="shared" si="37"/>
        <v>2.0031496062992127</v>
      </c>
      <c r="N84" s="244">
        <v>254.4</v>
      </c>
    </row>
    <row r="85" spans="1:14" x14ac:dyDescent="0.2">
      <c r="A85" s="281"/>
      <c r="B85" s="277"/>
      <c r="C85" s="148"/>
      <c r="D85" s="286"/>
      <c r="E85" s="287"/>
      <c r="F85" s="266"/>
      <c r="G85" s="143">
        <v>0</v>
      </c>
      <c r="H85" s="141">
        <v>0</v>
      </c>
      <c r="I85" s="121">
        <f t="shared" ref="I85" si="38">G85-H85</f>
        <v>0</v>
      </c>
      <c r="J85" s="154">
        <v>49</v>
      </c>
      <c r="K85" s="154">
        <v>-49</v>
      </c>
      <c r="L85" s="121">
        <f t="shared" ref="L85" si="39">SUM(J85:K85)</f>
        <v>0</v>
      </c>
      <c r="M85" s="84" t="str">
        <f t="shared" ref="M85" si="40">IFERROR(L85/H85,"N/A")</f>
        <v>N/A</v>
      </c>
      <c r="N85" s="244">
        <v>0</v>
      </c>
    </row>
    <row r="86" spans="1:14" x14ac:dyDescent="0.2">
      <c r="A86" s="281"/>
      <c r="B86" s="277"/>
      <c r="C86" s="148"/>
      <c r="D86" s="286"/>
      <c r="E86" s="287"/>
      <c r="F86" s="266"/>
      <c r="G86" s="143">
        <v>0</v>
      </c>
      <c r="H86" s="141">
        <v>0</v>
      </c>
      <c r="I86" s="121">
        <f t="shared" si="33"/>
        <v>0</v>
      </c>
      <c r="J86" s="154">
        <v>0</v>
      </c>
      <c r="K86" s="154">
        <v>0</v>
      </c>
      <c r="L86" s="121">
        <f t="shared" si="36"/>
        <v>0</v>
      </c>
      <c r="M86" s="84" t="str">
        <f t="shared" si="37"/>
        <v>N/A</v>
      </c>
      <c r="N86" s="288">
        <v>0</v>
      </c>
    </row>
    <row r="87" spans="1:14" ht="13.5" thickBot="1" x14ac:dyDescent="0.25">
      <c r="A87" s="224"/>
      <c r="B87" s="221"/>
      <c r="C87" s="273" t="s">
        <v>121</v>
      </c>
      <c r="D87" s="274"/>
      <c r="E87" s="274"/>
      <c r="F87" s="275"/>
      <c r="G87" s="126">
        <f t="shared" ref="G87:L87" si="41">SUM(G70:G86)</f>
        <v>29555.803999999996</v>
      </c>
      <c r="H87" s="126">
        <f t="shared" si="41"/>
        <v>26718.239999999998</v>
      </c>
      <c r="I87" s="126">
        <f t="shared" si="41"/>
        <v>2837.5639999999994</v>
      </c>
      <c r="J87" s="126">
        <f t="shared" si="41"/>
        <v>13925.42</v>
      </c>
      <c r="K87" s="126">
        <f t="shared" si="41"/>
        <v>13498.399999999996</v>
      </c>
      <c r="L87" s="126">
        <f t="shared" si="41"/>
        <v>27423.819999999996</v>
      </c>
      <c r="M87" s="92">
        <f>IFERROR(L87/H87,"N/A")</f>
        <v>1.0264081765864816</v>
      </c>
      <c r="N87" s="127">
        <f>SUM(N70:N86)</f>
        <v>27423.819999999996</v>
      </c>
    </row>
    <row r="88" spans="1:14" ht="13.5" thickBot="1" x14ac:dyDescent="0.25"/>
    <row r="89" spans="1:14" s="233" customFormat="1" x14ac:dyDescent="0.2">
      <c r="A89" s="255" t="s">
        <v>122</v>
      </c>
      <c r="B89" s="256"/>
      <c r="C89" s="256"/>
      <c r="D89" s="256"/>
      <c r="E89" s="256"/>
      <c r="F89" s="257"/>
      <c r="G89" s="258"/>
      <c r="H89" s="258"/>
      <c r="I89" s="258"/>
      <c r="J89" s="258"/>
      <c r="K89" s="258"/>
      <c r="L89" s="258"/>
      <c r="M89" s="73"/>
      <c r="N89" s="72"/>
    </row>
    <row r="90" spans="1:14" x14ac:dyDescent="0.2">
      <c r="A90" s="259" t="s">
        <v>123</v>
      </c>
      <c r="B90" s="230"/>
      <c r="C90" s="230"/>
      <c r="D90" s="230"/>
      <c r="E90" s="230"/>
      <c r="F90" s="231"/>
      <c r="G90" s="232"/>
      <c r="H90" s="232"/>
      <c r="I90" s="232"/>
      <c r="J90" s="232"/>
      <c r="K90" s="232"/>
      <c r="L90" s="232"/>
      <c r="M90" s="75"/>
      <c r="N90" s="74"/>
    </row>
    <row r="91" spans="1:14" ht="33.75" x14ac:dyDescent="0.2">
      <c r="A91" s="260" t="s">
        <v>90</v>
      </c>
      <c r="B91" s="261"/>
      <c r="C91" s="262"/>
      <c r="D91" s="262"/>
      <c r="E91" s="262"/>
      <c r="F91" s="262"/>
      <c r="G91" s="236" t="s">
        <v>39</v>
      </c>
      <c r="H91" s="236" t="s">
        <v>40</v>
      </c>
      <c r="I91" s="236" t="s">
        <v>41</v>
      </c>
      <c r="J91" s="236" t="s">
        <v>42</v>
      </c>
      <c r="K91" s="236" t="s">
        <v>43</v>
      </c>
      <c r="L91" s="236" t="s">
        <v>44</v>
      </c>
      <c r="M91" s="90" t="s">
        <v>45</v>
      </c>
      <c r="N91" s="91" t="s">
        <v>46</v>
      </c>
    </row>
    <row r="92" spans="1:14" x14ac:dyDescent="0.2">
      <c r="A92" s="276"/>
      <c r="B92" s="277"/>
      <c r="C92" s="145"/>
      <c r="D92" s="278"/>
      <c r="E92" s="279"/>
      <c r="F92" s="266"/>
      <c r="G92" s="141">
        <v>0</v>
      </c>
      <c r="H92" s="141">
        <v>0</v>
      </c>
      <c r="I92" s="121">
        <f t="shared" ref="I92:I94" si="42">G92-H92</f>
        <v>0</v>
      </c>
      <c r="J92" s="154">
        <v>0</v>
      </c>
      <c r="K92" s="154">
        <v>0</v>
      </c>
      <c r="L92" s="121">
        <f>SUM(J92:K92)</f>
        <v>0</v>
      </c>
      <c r="M92" s="84" t="str">
        <f>IFERROR(L92/H92,"N/A")</f>
        <v>N/A</v>
      </c>
      <c r="N92" s="244">
        <f t="shared" ref="N92:N93" si="43">J92</f>
        <v>0</v>
      </c>
    </row>
    <row r="93" spans="1:14" x14ac:dyDescent="0.2">
      <c r="A93" s="280"/>
      <c r="B93" s="277"/>
      <c r="C93" s="145"/>
      <c r="D93" s="278"/>
      <c r="E93" s="279"/>
      <c r="F93" s="266"/>
      <c r="G93" s="141">
        <v>0</v>
      </c>
      <c r="H93" s="141">
        <v>0</v>
      </c>
      <c r="I93" s="121">
        <f t="shared" si="42"/>
        <v>0</v>
      </c>
      <c r="J93" s="154">
        <v>0</v>
      </c>
      <c r="K93" s="154">
        <v>0</v>
      </c>
      <c r="L93" s="121">
        <f t="shared" ref="L93:L94" si="44">SUM(J93:K93)</f>
        <v>0</v>
      </c>
      <c r="M93" s="84" t="str">
        <f t="shared" ref="M93:M94" si="45">IFERROR(L93/H93,"N/A")</f>
        <v>N/A</v>
      </c>
      <c r="N93" s="244">
        <f t="shared" si="43"/>
        <v>0</v>
      </c>
    </row>
    <row r="94" spans="1:14" x14ac:dyDescent="0.2">
      <c r="A94" s="280"/>
      <c r="B94" s="277"/>
      <c r="C94" s="145"/>
      <c r="D94" s="278"/>
      <c r="E94" s="279"/>
      <c r="F94" s="266"/>
      <c r="G94" s="141">
        <v>0</v>
      </c>
      <c r="H94" s="141">
        <v>0</v>
      </c>
      <c r="I94" s="121">
        <f t="shared" si="42"/>
        <v>0</v>
      </c>
      <c r="J94" s="154">
        <v>0</v>
      </c>
      <c r="K94" s="154">
        <v>0</v>
      </c>
      <c r="L94" s="121">
        <f t="shared" si="44"/>
        <v>0</v>
      </c>
      <c r="M94" s="84" t="str">
        <f t="shared" si="45"/>
        <v>N/A</v>
      </c>
      <c r="N94" s="288">
        <v>0</v>
      </c>
    </row>
    <row r="95" spans="1:14" ht="13.5" thickBot="1" x14ac:dyDescent="0.25">
      <c r="A95" s="224"/>
      <c r="B95" s="221"/>
      <c r="C95" s="273" t="s">
        <v>124</v>
      </c>
      <c r="D95" s="274"/>
      <c r="E95" s="274"/>
      <c r="F95" s="275"/>
      <c r="G95" s="126">
        <f t="shared" ref="G95:L95" si="46">SUM(G92:G94)</f>
        <v>0</v>
      </c>
      <c r="H95" s="126">
        <f t="shared" si="46"/>
        <v>0</v>
      </c>
      <c r="I95" s="126">
        <f t="shared" si="46"/>
        <v>0</v>
      </c>
      <c r="J95" s="126">
        <f t="shared" si="46"/>
        <v>0</v>
      </c>
      <c r="K95" s="126">
        <f t="shared" si="46"/>
        <v>0</v>
      </c>
      <c r="L95" s="126">
        <f t="shared" si="46"/>
        <v>0</v>
      </c>
      <c r="M95" s="92" t="str">
        <f>IFERROR(L95/H95,"N/A")</f>
        <v>N/A</v>
      </c>
      <c r="N95" s="127">
        <f>SUM(N92:N94)</f>
        <v>0</v>
      </c>
    </row>
    <row r="96" spans="1:14" ht="13.5" thickBot="1" x14ac:dyDescent="0.25"/>
    <row r="97" spans="1:14" s="233" customFormat="1" x14ac:dyDescent="0.2">
      <c r="A97" s="255" t="s">
        <v>125</v>
      </c>
      <c r="B97" s="256"/>
      <c r="C97" s="256"/>
      <c r="D97" s="256"/>
      <c r="E97" s="256"/>
      <c r="F97" s="257"/>
      <c r="G97" s="258"/>
      <c r="H97" s="258"/>
      <c r="I97" s="258"/>
      <c r="J97" s="258"/>
      <c r="K97" s="258"/>
      <c r="L97" s="258"/>
      <c r="M97" s="73"/>
      <c r="N97" s="72"/>
    </row>
    <row r="98" spans="1:14" x14ac:dyDescent="0.2">
      <c r="A98" s="259" t="s">
        <v>126</v>
      </c>
      <c r="B98" s="230"/>
      <c r="C98" s="230"/>
      <c r="D98" s="230"/>
      <c r="E98" s="230"/>
      <c r="F98" s="231"/>
      <c r="G98" s="232"/>
      <c r="H98" s="232"/>
      <c r="I98" s="232"/>
      <c r="J98" s="232"/>
      <c r="K98" s="232"/>
      <c r="L98" s="232"/>
      <c r="M98" s="75"/>
      <c r="N98" s="74"/>
    </row>
    <row r="99" spans="1:14" ht="33.75" x14ac:dyDescent="0.2">
      <c r="A99" s="260" t="s">
        <v>90</v>
      </c>
      <c r="B99" s="261"/>
      <c r="C99" s="262"/>
      <c r="D99" s="262"/>
      <c r="E99" s="262"/>
      <c r="F99" s="262"/>
      <c r="G99" s="236" t="s">
        <v>39</v>
      </c>
      <c r="H99" s="236" t="s">
        <v>40</v>
      </c>
      <c r="I99" s="236" t="s">
        <v>41</v>
      </c>
      <c r="J99" s="236" t="s">
        <v>42</v>
      </c>
      <c r="K99" s="236" t="s">
        <v>43</v>
      </c>
      <c r="L99" s="236" t="s">
        <v>44</v>
      </c>
      <c r="M99" s="90" t="s">
        <v>45</v>
      </c>
      <c r="N99" s="91" t="s">
        <v>46</v>
      </c>
    </row>
    <row r="100" spans="1:14" x14ac:dyDescent="0.2">
      <c r="A100" s="276"/>
      <c r="B100" s="277"/>
      <c r="C100" s="145"/>
      <c r="D100" s="278"/>
      <c r="E100" s="279"/>
      <c r="F100" s="266"/>
      <c r="G100" s="141">
        <v>0</v>
      </c>
      <c r="H100" s="141">
        <v>0</v>
      </c>
      <c r="I100" s="121">
        <f t="shared" ref="I100:I102" si="47">G100-H100</f>
        <v>0</v>
      </c>
      <c r="J100" s="154">
        <v>0</v>
      </c>
      <c r="K100" s="154">
        <v>0</v>
      </c>
      <c r="L100" s="121">
        <f>SUM(J100:K100)</f>
        <v>0</v>
      </c>
      <c r="M100" s="84" t="str">
        <f>IFERROR(L100/H100,"N/A")</f>
        <v>N/A</v>
      </c>
      <c r="N100" s="288">
        <v>0</v>
      </c>
    </row>
    <row r="101" spans="1:14" x14ac:dyDescent="0.2">
      <c r="A101" s="280"/>
      <c r="B101" s="277"/>
      <c r="C101" s="145"/>
      <c r="D101" s="278"/>
      <c r="E101" s="279"/>
      <c r="F101" s="266"/>
      <c r="G101" s="141">
        <v>0</v>
      </c>
      <c r="H101" s="141">
        <v>0</v>
      </c>
      <c r="I101" s="121">
        <f t="shared" si="47"/>
        <v>0</v>
      </c>
      <c r="J101" s="154">
        <v>0</v>
      </c>
      <c r="K101" s="154">
        <v>0</v>
      </c>
      <c r="L101" s="121">
        <f t="shared" ref="L101:L102" si="48">SUM(J101:K101)</f>
        <v>0</v>
      </c>
      <c r="M101" s="84" t="str">
        <f t="shared" ref="M101:M102" si="49">IFERROR(L101/H101,"N/A")</f>
        <v>N/A</v>
      </c>
      <c r="N101" s="288">
        <v>0</v>
      </c>
    </row>
    <row r="102" spans="1:14" x14ac:dyDescent="0.2">
      <c r="A102" s="280"/>
      <c r="B102" s="277"/>
      <c r="C102" s="145"/>
      <c r="D102" s="278"/>
      <c r="E102" s="279"/>
      <c r="F102" s="266"/>
      <c r="G102" s="141">
        <v>0</v>
      </c>
      <c r="H102" s="141">
        <v>0</v>
      </c>
      <c r="I102" s="121">
        <f t="shared" si="47"/>
        <v>0</v>
      </c>
      <c r="J102" s="154">
        <v>0</v>
      </c>
      <c r="K102" s="154">
        <v>0</v>
      </c>
      <c r="L102" s="121">
        <f t="shared" si="48"/>
        <v>0</v>
      </c>
      <c r="M102" s="84" t="str">
        <f t="shared" si="49"/>
        <v>N/A</v>
      </c>
      <c r="N102" s="288">
        <v>0</v>
      </c>
    </row>
    <row r="103" spans="1:14" ht="13.5" thickBot="1" x14ac:dyDescent="0.25">
      <c r="A103" s="224"/>
      <c r="B103" s="221"/>
      <c r="C103" s="273" t="s">
        <v>127</v>
      </c>
      <c r="D103" s="274"/>
      <c r="E103" s="274"/>
      <c r="F103" s="275"/>
      <c r="G103" s="126">
        <f t="shared" ref="G103:L103" si="50">SUM(G100:G102)</f>
        <v>0</v>
      </c>
      <c r="H103" s="126">
        <f t="shared" si="50"/>
        <v>0</v>
      </c>
      <c r="I103" s="126">
        <f t="shared" si="50"/>
        <v>0</v>
      </c>
      <c r="J103" s="126">
        <f t="shared" si="50"/>
        <v>0</v>
      </c>
      <c r="K103" s="126">
        <f t="shared" si="50"/>
        <v>0</v>
      </c>
      <c r="L103" s="126">
        <f t="shared" si="50"/>
        <v>0</v>
      </c>
      <c r="M103" s="92" t="str">
        <f>IFERROR(L103/H103,"N/A")</f>
        <v>N/A</v>
      </c>
      <c r="N103" s="127">
        <f>SUM(N100:N102)</f>
        <v>0</v>
      </c>
    </row>
    <row r="104" spans="1:14" ht="13.5" thickBot="1" x14ac:dyDescent="0.25"/>
    <row r="105" spans="1:14" s="233" customFormat="1" x14ac:dyDescent="0.2">
      <c r="A105" s="255" t="s">
        <v>128</v>
      </c>
      <c r="B105" s="256"/>
      <c r="C105" s="256"/>
      <c r="D105" s="256"/>
      <c r="E105" s="256"/>
      <c r="F105" s="257"/>
      <c r="G105" s="258"/>
      <c r="H105" s="258"/>
      <c r="I105" s="258"/>
      <c r="J105" s="258"/>
      <c r="K105" s="258"/>
      <c r="L105" s="258"/>
      <c r="M105" s="73"/>
      <c r="N105" s="72"/>
    </row>
    <row r="106" spans="1:14" s="233" customFormat="1" ht="11.25" x14ac:dyDescent="0.2">
      <c r="A106" s="259" t="s">
        <v>129</v>
      </c>
      <c r="B106" s="289"/>
      <c r="C106" s="289"/>
      <c r="D106" s="289"/>
      <c r="E106" s="289"/>
      <c r="F106" s="231"/>
      <c r="G106" s="231"/>
      <c r="H106" s="231"/>
      <c r="I106" s="231"/>
      <c r="J106" s="231"/>
      <c r="K106" s="231"/>
      <c r="L106" s="231"/>
      <c r="M106" s="106"/>
      <c r="N106" s="290"/>
    </row>
    <row r="107" spans="1:14" s="233" customFormat="1" ht="11.25" x14ac:dyDescent="0.2">
      <c r="A107" s="291" t="s">
        <v>130</v>
      </c>
      <c r="B107" s="289"/>
      <c r="C107" s="289"/>
      <c r="D107" s="289"/>
      <c r="E107" s="289"/>
      <c r="F107" s="231"/>
      <c r="G107" s="231"/>
      <c r="H107" s="231"/>
      <c r="I107" s="231"/>
      <c r="J107" s="231"/>
      <c r="K107" s="231"/>
      <c r="L107" s="231"/>
      <c r="M107" s="106"/>
      <c r="N107" s="290"/>
    </row>
    <row r="108" spans="1:14" s="233" customFormat="1" ht="11.25" x14ac:dyDescent="0.2">
      <c r="A108" s="291" t="s">
        <v>131</v>
      </c>
      <c r="B108" s="289"/>
      <c r="C108" s="289"/>
      <c r="D108" s="289"/>
      <c r="E108" s="289"/>
      <c r="F108" s="289"/>
      <c r="G108" s="93"/>
      <c r="H108" s="93"/>
      <c r="I108" s="93"/>
      <c r="J108" s="93"/>
      <c r="K108" s="93"/>
      <c r="L108" s="93"/>
      <c r="M108" s="94"/>
      <c r="N108" s="95"/>
    </row>
    <row r="109" spans="1:14" ht="34.5" thickBot="1" x14ac:dyDescent="0.25">
      <c r="A109" s="260" t="s">
        <v>90</v>
      </c>
      <c r="B109" s="261"/>
      <c r="C109" s="262"/>
      <c r="D109" s="262"/>
      <c r="E109" s="262"/>
      <c r="F109" s="262"/>
      <c r="G109" s="236" t="s">
        <v>39</v>
      </c>
      <c r="H109" s="236" t="s">
        <v>40</v>
      </c>
      <c r="I109" s="236" t="s">
        <v>41</v>
      </c>
      <c r="J109" s="236" t="s">
        <v>42</v>
      </c>
      <c r="K109" s="236" t="s">
        <v>43</v>
      </c>
      <c r="L109" s="236" t="s">
        <v>44</v>
      </c>
      <c r="M109" s="90" t="s">
        <v>45</v>
      </c>
      <c r="N109" s="91" t="s">
        <v>46</v>
      </c>
    </row>
    <row r="110" spans="1:14" ht="13.5" thickBot="1" x14ac:dyDescent="0.25">
      <c r="A110" s="292" t="s">
        <v>132</v>
      </c>
      <c r="B110" s="293"/>
      <c r="C110" s="149"/>
      <c r="D110" s="266"/>
      <c r="E110" s="294" t="s">
        <v>133</v>
      </c>
      <c r="F110" s="295">
        <f>IFERROR(H112/H114,"N/A")</f>
        <v>6.0196752567558472E-2</v>
      </c>
      <c r="G110" s="143">
        <f>G42*0.15</f>
        <v>21599.55</v>
      </c>
      <c r="H110" s="143">
        <f>H42*0.15-3</f>
        <v>14950.199999999999</v>
      </c>
      <c r="I110" s="128">
        <f>G110-H110</f>
        <v>6649.35</v>
      </c>
      <c r="J110" s="155">
        <f>7476</f>
        <v>7476</v>
      </c>
      <c r="K110" s="155">
        <f>14950-J110</f>
        <v>7474</v>
      </c>
      <c r="L110" s="121">
        <f>SUM(J110:K110)</f>
        <v>14950</v>
      </c>
      <c r="M110" s="84">
        <f>IFERROR(L110/H110,"N/A")</f>
        <v>0.9999866222525452</v>
      </c>
      <c r="N110" s="244">
        <v>14950</v>
      </c>
    </row>
    <row r="111" spans="1:14" ht="13.5" thickBot="1" x14ac:dyDescent="0.25">
      <c r="A111" s="296"/>
      <c r="B111" s="293"/>
      <c r="C111" s="150"/>
      <c r="D111" s="266"/>
      <c r="E111" s="294" t="s">
        <v>133</v>
      </c>
      <c r="F111" s="295" t="str">
        <f>IFERROR(H113/H115,"N/A")</f>
        <v>N/A</v>
      </c>
      <c r="G111" s="143">
        <v>0</v>
      </c>
      <c r="H111" s="143">
        <v>0</v>
      </c>
      <c r="I111" s="128">
        <f t="shared" ref="I111" si="51">G111-H111</f>
        <v>0</v>
      </c>
      <c r="J111" s="155">
        <v>0</v>
      </c>
      <c r="K111" s="155">
        <v>0</v>
      </c>
      <c r="L111" s="128">
        <f>SUM(J111:K111)</f>
        <v>0</v>
      </c>
      <c r="M111" s="89" t="str">
        <f>IFERROR(L111/H111,"N/A")</f>
        <v>N/A</v>
      </c>
      <c r="N111" s="297">
        <v>0</v>
      </c>
    </row>
    <row r="112" spans="1:14" ht="13.5" thickBot="1" x14ac:dyDescent="0.25">
      <c r="A112" s="224"/>
      <c r="B112" s="221"/>
      <c r="C112" s="273" t="s">
        <v>134</v>
      </c>
      <c r="D112" s="274"/>
      <c r="E112" s="274"/>
      <c r="F112" s="298"/>
      <c r="G112" s="129">
        <f>SUM(G110:G111)</f>
        <v>21599.55</v>
      </c>
      <c r="H112" s="129">
        <f>SUM(H110:H111)</f>
        <v>14950.199999999999</v>
      </c>
      <c r="I112" s="129">
        <f>SUM(I110:I111)</f>
        <v>6649.35</v>
      </c>
      <c r="J112" s="129">
        <f t="shared" ref="J112:L112" si="52">SUM(J110:J111)</f>
        <v>7476</v>
      </c>
      <c r="K112" s="129">
        <f t="shared" si="52"/>
        <v>7474</v>
      </c>
      <c r="L112" s="129">
        <f t="shared" si="52"/>
        <v>14950</v>
      </c>
      <c r="M112" s="118">
        <f>IFERROR(L112/H112,"N/A")</f>
        <v>0.9999866222525452</v>
      </c>
      <c r="N112" s="130">
        <f>SUM(N110:N111)</f>
        <v>14950</v>
      </c>
    </row>
    <row r="113" spans="1:14" ht="13.5" thickBot="1" x14ac:dyDescent="0.25"/>
    <row r="114" spans="1:14" ht="15.75" thickBot="1" x14ac:dyDescent="0.3">
      <c r="A114" s="299"/>
      <c r="B114" s="300"/>
      <c r="C114" s="301" t="s">
        <v>135</v>
      </c>
      <c r="D114" s="300"/>
      <c r="E114" s="300"/>
      <c r="F114" s="302"/>
      <c r="G114" s="131">
        <f t="shared" ref="G114:L114" si="53">SUM(G112,G103,G95,G87,G65,G54,G42)</f>
        <v>309295.51999999996</v>
      </c>
      <c r="H114" s="131">
        <f t="shared" si="53"/>
        <v>248355.59</v>
      </c>
      <c r="I114" s="131">
        <f t="shared" si="53"/>
        <v>60939.93</v>
      </c>
      <c r="J114" s="131">
        <f t="shared" si="53"/>
        <v>119202.07</v>
      </c>
      <c r="K114" s="131">
        <f t="shared" si="53"/>
        <v>129153.54999999999</v>
      </c>
      <c r="L114" s="131">
        <f t="shared" si="53"/>
        <v>248355.62</v>
      </c>
      <c r="M114" s="71">
        <f>IFERROR(L114/H114,"N/A")</f>
        <v>1.000000120794543</v>
      </c>
      <c r="N114" s="132">
        <f>SUM(N112,N103,N95,N87,N65,N54,N42)</f>
        <v>251355.65000000002</v>
      </c>
    </row>
    <row r="115" spans="1:14" ht="15" customHeight="1" thickBot="1" x14ac:dyDescent="0.25"/>
    <row r="116" spans="1:14" ht="15" x14ac:dyDescent="0.25">
      <c r="A116" s="303" t="s">
        <v>24</v>
      </c>
      <c r="B116" s="256"/>
      <c r="C116" s="256"/>
      <c r="D116" s="256"/>
      <c r="E116" s="256"/>
      <c r="F116" s="256"/>
      <c r="G116" s="256"/>
      <c r="H116" s="256"/>
      <c r="I116" s="256"/>
      <c r="J116" s="256"/>
      <c r="K116" s="256"/>
      <c r="L116" s="256"/>
      <c r="M116" s="256"/>
      <c r="N116" s="304"/>
    </row>
    <row r="117" spans="1:14" ht="14.25" x14ac:dyDescent="0.2">
      <c r="A117" s="305" t="s">
        <v>136</v>
      </c>
      <c r="B117" s="306"/>
      <c r="C117" s="306"/>
      <c r="D117" s="306"/>
      <c r="E117" s="306"/>
      <c r="F117" s="306"/>
      <c r="G117" s="306"/>
      <c r="H117" s="306"/>
      <c r="I117" s="306"/>
      <c r="J117" s="306"/>
      <c r="K117" s="306"/>
      <c r="L117" s="306"/>
      <c r="M117" s="306"/>
      <c r="N117" s="307"/>
    </row>
    <row r="118" spans="1:14" ht="15" x14ac:dyDescent="0.25">
      <c r="A118" s="305" t="s">
        <v>137</v>
      </c>
      <c r="B118" s="306"/>
      <c r="C118" s="306"/>
      <c r="D118" s="306"/>
      <c r="E118" s="306"/>
      <c r="F118" s="306"/>
      <c r="G118" s="306"/>
      <c r="H118" s="306"/>
      <c r="I118" s="306"/>
      <c r="J118" s="306"/>
      <c r="K118" s="306"/>
      <c r="L118" s="306"/>
      <c r="M118" s="306"/>
      <c r="N118" s="307"/>
    </row>
    <row r="119" spans="1:14" ht="15" x14ac:dyDescent="0.25">
      <c r="A119" s="305" t="s">
        <v>138</v>
      </c>
      <c r="B119" s="306"/>
      <c r="C119" s="306"/>
      <c r="D119" s="306"/>
      <c r="E119" s="306"/>
      <c r="F119" s="306"/>
      <c r="G119" s="306"/>
      <c r="H119" s="306"/>
      <c r="I119" s="306"/>
      <c r="J119" s="306"/>
      <c r="K119" s="306"/>
      <c r="L119" s="306"/>
      <c r="M119" s="306"/>
      <c r="N119" s="307"/>
    </row>
    <row r="120" spans="1:14" ht="45" customHeight="1" x14ac:dyDescent="0.2">
      <c r="A120" s="308" t="s">
        <v>139</v>
      </c>
      <c r="B120" s="309"/>
      <c r="C120" s="309" t="s">
        <v>90</v>
      </c>
      <c r="I120" s="310" t="s">
        <v>140</v>
      </c>
      <c r="J120" s="310" t="s">
        <v>141</v>
      </c>
      <c r="K120" s="310" t="s">
        <v>142</v>
      </c>
      <c r="L120" s="310" t="s">
        <v>143</v>
      </c>
      <c r="M120" s="112" t="s">
        <v>144</v>
      </c>
      <c r="N120" s="311" t="s">
        <v>145</v>
      </c>
    </row>
    <row r="121" spans="1:14" ht="15" customHeight="1" x14ac:dyDescent="0.2">
      <c r="A121" s="312" t="s">
        <v>146</v>
      </c>
      <c r="B121" s="138"/>
      <c r="C121" s="138"/>
      <c r="I121" s="139"/>
      <c r="J121" s="139"/>
      <c r="K121" s="139"/>
      <c r="L121" s="139"/>
      <c r="M121" s="80"/>
      <c r="N121" s="108"/>
    </row>
    <row r="122" spans="1:14" ht="15" customHeight="1" x14ac:dyDescent="0.2">
      <c r="A122" s="313"/>
      <c r="B122" s="151"/>
      <c r="C122" s="151"/>
      <c r="I122" s="141">
        <v>0</v>
      </c>
      <c r="J122" s="156">
        <v>0</v>
      </c>
      <c r="K122" s="156">
        <v>0</v>
      </c>
      <c r="L122" s="133">
        <f t="shared" ref="L122:L123" si="54">SUM(J122:K122)</f>
        <v>0</v>
      </c>
      <c r="M122" s="80"/>
      <c r="N122" s="108"/>
    </row>
    <row r="123" spans="1:14" ht="15" customHeight="1" x14ac:dyDescent="0.2">
      <c r="A123" s="313"/>
      <c r="B123" s="151"/>
      <c r="C123" s="151"/>
      <c r="I123" s="141">
        <v>0</v>
      </c>
      <c r="J123" s="156">
        <v>0</v>
      </c>
      <c r="K123" s="156">
        <v>0</v>
      </c>
      <c r="L123" s="133">
        <f t="shared" si="54"/>
        <v>0</v>
      </c>
      <c r="M123" s="80"/>
      <c r="N123" s="108"/>
    </row>
    <row r="124" spans="1:14" x14ac:dyDescent="0.2">
      <c r="A124" s="314" t="s">
        <v>147</v>
      </c>
      <c r="B124" s="138"/>
      <c r="I124" s="139"/>
      <c r="J124" s="139"/>
      <c r="K124" s="139"/>
      <c r="L124" s="139"/>
      <c r="M124" s="80"/>
      <c r="N124" s="108"/>
    </row>
    <row r="125" spans="1:14" ht="15" customHeight="1" x14ac:dyDescent="0.2">
      <c r="A125" s="313"/>
      <c r="B125" s="151"/>
      <c r="I125" s="141">
        <v>0</v>
      </c>
      <c r="J125" s="156">
        <v>0</v>
      </c>
      <c r="K125" s="156">
        <v>3000</v>
      </c>
      <c r="L125" s="133">
        <f t="shared" ref="L125:L135" si="55">SUM(J125:K125)</f>
        <v>3000</v>
      </c>
      <c r="M125" s="80"/>
      <c r="N125" s="108"/>
    </row>
    <row r="126" spans="1:14" ht="15" customHeight="1" x14ac:dyDescent="0.2">
      <c r="A126" s="313"/>
      <c r="B126" s="151"/>
      <c r="I126" s="141">
        <v>0</v>
      </c>
      <c r="J126" s="156">
        <v>0</v>
      </c>
      <c r="K126" s="156">
        <v>0</v>
      </c>
      <c r="L126" s="133">
        <f t="shared" si="55"/>
        <v>0</v>
      </c>
      <c r="M126" s="80"/>
      <c r="N126" s="108"/>
    </row>
    <row r="127" spans="1:14" x14ac:dyDescent="0.2">
      <c r="A127" s="314" t="s">
        <v>148</v>
      </c>
      <c r="B127" s="138"/>
      <c r="I127" s="139"/>
      <c r="J127" s="139"/>
      <c r="K127" s="139"/>
      <c r="L127" s="139"/>
      <c r="M127" s="80"/>
      <c r="N127" s="108"/>
    </row>
    <row r="128" spans="1:14" ht="15" customHeight="1" x14ac:dyDescent="0.2">
      <c r="A128" s="313"/>
      <c r="B128" s="151"/>
      <c r="I128" s="141">
        <v>0</v>
      </c>
      <c r="J128" s="156">
        <v>0</v>
      </c>
      <c r="K128" s="156">
        <v>0</v>
      </c>
      <c r="L128" s="133">
        <f t="shared" ref="L128:L129" si="56">SUM(J128:K128)</f>
        <v>0</v>
      </c>
      <c r="M128" s="80"/>
      <c r="N128" s="108"/>
    </row>
    <row r="129" spans="1:14" ht="15" customHeight="1" x14ac:dyDescent="0.2">
      <c r="A129" s="313"/>
      <c r="B129" s="151"/>
      <c r="I129" s="141">
        <v>0</v>
      </c>
      <c r="J129" s="156">
        <v>0</v>
      </c>
      <c r="K129" s="156">
        <v>0</v>
      </c>
      <c r="L129" s="133">
        <f t="shared" si="56"/>
        <v>0</v>
      </c>
      <c r="M129" s="80"/>
      <c r="N129" s="108"/>
    </row>
    <row r="130" spans="1:14" x14ac:dyDescent="0.2">
      <c r="A130" s="314" t="s">
        <v>149</v>
      </c>
      <c r="B130" s="138"/>
      <c r="I130" s="139"/>
      <c r="J130" s="139"/>
      <c r="K130" s="139"/>
      <c r="L130" s="139"/>
      <c r="M130" s="97"/>
      <c r="N130" s="109"/>
    </row>
    <row r="131" spans="1:14" ht="15" customHeight="1" x14ac:dyDescent="0.2">
      <c r="A131" s="313"/>
      <c r="B131" s="151"/>
      <c r="I131" s="141">
        <v>0</v>
      </c>
      <c r="J131" s="156">
        <v>0</v>
      </c>
      <c r="K131" s="156">
        <v>0</v>
      </c>
      <c r="L131" s="133">
        <f t="shared" ref="L131:L132" si="57">SUM(J131:K131)</f>
        <v>0</v>
      </c>
      <c r="M131" s="80"/>
      <c r="N131" s="108"/>
    </row>
    <row r="132" spans="1:14" ht="15" customHeight="1" x14ac:dyDescent="0.2">
      <c r="A132" s="313"/>
      <c r="B132" s="151"/>
      <c r="I132" s="141">
        <v>0</v>
      </c>
      <c r="J132" s="156">
        <v>0</v>
      </c>
      <c r="K132" s="156">
        <v>0</v>
      </c>
      <c r="L132" s="133">
        <f t="shared" si="57"/>
        <v>0</v>
      </c>
      <c r="M132" s="80"/>
      <c r="N132" s="108"/>
    </row>
    <row r="133" spans="1:14" x14ac:dyDescent="0.2">
      <c r="A133" s="314" t="s">
        <v>150</v>
      </c>
      <c r="B133" s="138"/>
      <c r="I133" s="139"/>
      <c r="J133" s="139"/>
      <c r="K133" s="139"/>
      <c r="L133" s="139"/>
      <c r="M133" s="97"/>
      <c r="N133" s="109"/>
    </row>
    <row r="134" spans="1:14" ht="15" customHeight="1" x14ac:dyDescent="0.2">
      <c r="A134" s="313" t="s">
        <v>151</v>
      </c>
      <c r="B134" s="151"/>
      <c r="I134" s="141">
        <v>39812</v>
      </c>
      <c r="J134" s="156">
        <f>133847-119202</f>
        <v>14645</v>
      </c>
      <c r="K134" s="156">
        <v>-14645</v>
      </c>
      <c r="L134" s="133">
        <f t="shared" si="55"/>
        <v>0</v>
      </c>
      <c r="M134" s="80"/>
      <c r="N134" s="108"/>
    </row>
    <row r="135" spans="1:14" ht="15" customHeight="1" x14ac:dyDescent="0.2">
      <c r="A135" s="313"/>
      <c r="B135" s="151"/>
      <c r="I135" s="141">
        <v>0</v>
      </c>
      <c r="J135" s="156">
        <v>0</v>
      </c>
      <c r="K135" s="156">
        <v>0</v>
      </c>
      <c r="L135" s="133">
        <f t="shared" si="55"/>
        <v>0</v>
      </c>
      <c r="M135" s="80"/>
      <c r="N135" s="108"/>
    </row>
    <row r="136" spans="1:14" x14ac:dyDescent="0.2">
      <c r="A136" s="312" t="s">
        <v>152</v>
      </c>
      <c r="B136" s="138"/>
      <c r="I136" s="139"/>
      <c r="J136" s="139"/>
      <c r="K136" s="139"/>
      <c r="L136" s="139"/>
      <c r="M136" s="97"/>
      <c r="N136" s="109"/>
    </row>
    <row r="137" spans="1:14" ht="15" customHeight="1" x14ac:dyDescent="0.2">
      <c r="A137" s="313"/>
      <c r="B137" s="151"/>
      <c r="I137" s="141">
        <v>0</v>
      </c>
      <c r="J137" s="156">
        <v>0</v>
      </c>
      <c r="K137" s="156">
        <v>0</v>
      </c>
      <c r="L137" s="133">
        <f t="shared" ref="L137:L138" si="58">SUM(J137:K137)</f>
        <v>0</v>
      </c>
      <c r="M137" s="80"/>
      <c r="N137" s="108"/>
    </row>
    <row r="138" spans="1:14" ht="15" customHeight="1" x14ac:dyDescent="0.2">
      <c r="A138" s="313"/>
      <c r="B138" s="151"/>
      <c r="I138" s="141">
        <v>0</v>
      </c>
      <c r="J138" s="156">
        <v>0</v>
      </c>
      <c r="K138" s="156">
        <v>0</v>
      </c>
      <c r="L138" s="133">
        <f t="shared" si="58"/>
        <v>0</v>
      </c>
      <c r="M138" s="80"/>
      <c r="N138" s="108"/>
    </row>
    <row r="139" spans="1:14" ht="15.75" thickBot="1" x14ac:dyDescent="0.3">
      <c r="A139" s="315" t="s">
        <v>153</v>
      </c>
      <c r="B139" s="221"/>
      <c r="C139" s="221"/>
      <c r="D139" s="316" t="s">
        <v>154</v>
      </c>
      <c r="E139" s="317"/>
      <c r="F139" s="317"/>
      <c r="G139" s="317"/>
      <c r="H139" s="317"/>
      <c r="I139" s="134">
        <f>SUM(I121:I138)</f>
        <v>39812</v>
      </c>
      <c r="J139" s="134">
        <f t="shared" ref="J139:L139" si="59">SUM(J121:J138)</f>
        <v>14645</v>
      </c>
      <c r="K139" s="134">
        <f t="shared" si="59"/>
        <v>-11645</v>
      </c>
      <c r="L139" s="134">
        <f t="shared" si="59"/>
        <v>3000</v>
      </c>
      <c r="M139" s="135">
        <f>N13-L13</f>
        <v>3000.0300000000279</v>
      </c>
      <c r="N139" s="136">
        <f>IFERROR(L139-M139,"N/A")</f>
        <v>-3.0000000027939677E-2</v>
      </c>
    </row>
    <row r="140" spans="1:14" ht="13.5" thickBot="1" x14ac:dyDescent="0.25">
      <c r="A140" s="199"/>
      <c r="F140" s="318"/>
    </row>
    <row r="141" spans="1:14" x14ac:dyDescent="0.2">
      <c r="A141" s="319" t="s">
        <v>155</v>
      </c>
      <c r="B141" s="223"/>
      <c r="C141" s="223"/>
      <c r="D141" s="223"/>
      <c r="E141" s="223"/>
      <c r="F141" s="320"/>
      <c r="G141" s="320"/>
      <c r="H141" s="320"/>
      <c r="I141" s="320"/>
      <c r="J141" s="320"/>
      <c r="K141" s="320"/>
      <c r="L141" s="320"/>
      <c r="M141" s="82"/>
      <c r="N141" s="81"/>
    </row>
    <row r="142" spans="1:14" ht="13.5" thickBot="1" x14ac:dyDescent="0.25">
      <c r="A142" s="219" t="s">
        <v>156</v>
      </c>
      <c r="B142" s="220"/>
      <c r="C142" s="220"/>
      <c r="D142" s="220"/>
      <c r="E142" s="220"/>
      <c r="F142" s="321"/>
      <c r="G142" s="321"/>
      <c r="H142" s="321"/>
      <c r="I142" s="321"/>
      <c r="J142" s="321"/>
      <c r="K142" s="321"/>
      <c r="L142" s="321"/>
      <c r="M142" s="79"/>
      <c r="N142" s="78"/>
    </row>
  </sheetData>
  <sheetProtection algorithmName="SHA-512" hashValue="6aAsva7iNwsycnzf02OolsFOZdR5oQFtCDkvLLlDzwRM9TmwW491C5RSdfs11y+dtBOFGHuqlZrBrZVMSOwSPw==" saltValue="L233sxdvpmXyMOnKCD+25w==" spinCount="100000" sheet="1" objects="1" scenarios="1"/>
  <sortState xmlns:xlrd2="http://schemas.microsoft.com/office/spreadsheetml/2017/richdata2" ref="A27:R38">
    <sortCondition descending="1" ref="C27:C38"/>
  </sortState>
  <conditionalFormatting sqref="B121:B138">
    <cfRule type="containsText" dxfId="7" priority="17" operator="containsText" text="VARIANCE">
      <formula>NOT(ISERROR(SEARCH("VARIANCE",B121)))</formula>
    </cfRule>
  </conditionalFormatting>
  <conditionalFormatting sqref="C121:C123">
    <cfRule type="containsText" dxfId="6" priority="2" operator="containsText" text="VARIANCE">
      <formula>NOT(ISERROR(SEARCH("VARIANCE",C121)))</formula>
    </cfRule>
  </conditionalFormatting>
  <conditionalFormatting sqref="I121:L121">
    <cfRule type="containsText" dxfId="5" priority="16" operator="containsText" text="VARIANCE">
      <formula>NOT(ISERROR(SEARCH("VARIANCE",I121)))</formula>
    </cfRule>
  </conditionalFormatting>
  <conditionalFormatting sqref="I124:L124">
    <cfRule type="containsText" dxfId="4" priority="15" operator="containsText" text="VARIANCE">
      <formula>NOT(ISERROR(SEARCH("VARIANCE",I124)))</formula>
    </cfRule>
  </conditionalFormatting>
  <conditionalFormatting sqref="I127:L127">
    <cfRule type="containsText" dxfId="3" priority="14" operator="containsText" text="VARIANCE">
      <formula>NOT(ISERROR(SEARCH("VARIANCE",I127)))</formula>
    </cfRule>
  </conditionalFormatting>
  <conditionalFormatting sqref="I130:L130">
    <cfRule type="containsText" dxfId="2" priority="13" operator="containsText" text="VARIANCE">
      <formula>NOT(ISERROR(SEARCH("VARIANCE",I130)))</formula>
    </cfRule>
  </conditionalFormatting>
  <conditionalFormatting sqref="I133:L133">
    <cfRule type="containsText" dxfId="1" priority="12" operator="containsText" text="VARIANCE">
      <formula>NOT(ISERROR(SEARCH("VARIANCE",I133)))</formula>
    </cfRule>
  </conditionalFormatting>
  <conditionalFormatting sqref="I136:L136">
    <cfRule type="containsText" dxfId="0" priority="11" operator="containsText" text="VARIANCE">
      <formula>NOT(ISERROR(SEARCH("VARIANCE",I136)))</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0:F111"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list" allowBlank="1" showInputMessage="1" showErrorMessage="1" sqref="C122:C123" xr:uid="{00000000-0002-0000-0100-000003000000}">
      <formula1>$F$19:$F$21</formula1>
    </dataValidation>
    <dataValidation type="decimal" errorStyle="warning" allowBlank="1" showInputMessage="1" showErrorMessage="1" errorTitle="VARIANCE REPORT REQUIRED" error="Percentages below 90% or above 110% require an explanation in the VARIANCE REPORT/NOTES column." sqref="M27:M41" xr:uid="{00000000-0002-0000-0100-000004000000}">
      <formula1>0.9</formula1>
      <formula2>1.1</formula2>
    </dataValidation>
    <dataValidation type="list" allowBlank="1" showInputMessage="1" showErrorMessage="1" sqref="C27:C41" xr:uid="{00000000-0002-0000-0100-000005000000}">
      <formula1>$C$19:$C$21</formula1>
    </dataValidation>
  </dataValidations>
  <pageMargins left="0.7" right="0.7" top="0.75" bottom="0.75" header="0.3" footer="0.3"/>
  <pageSetup scale="49" fitToHeight="4" orientation="landscape" r:id="rId1"/>
  <rowBreaks count="1" manualBreakCount="1">
    <brk id="87" max="13" man="1"/>
  </rowBreaks>
  <ignoredErrors>
    <ignoredError sqref="M6 M10:M11 M7:M9 M12:M13" formula="1"/>
    <ignoredError sqref="L122:L13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I50"/>
  <sheetViews>
    <sheetView zoomScale="90" zoomScaleNormal="90" workbookViewId="0">
      <selection activeCell="I1" sqref="I1"/>
    </sheetView>
  </sheetViews>
  <sheetFormatPr defaultColWidth="8.85546875" defaultRowHeight="12.75" x14ac:dyDescent="0.2"/>
  <cols>
    <col min="1" max="1" width="53.7109375" style="193" customWidth="1"/>
    <col min="2" max="5" width="17.28515625" style="194" customWidth="1"/>
    <col min="6" max="8" width="17.28515625" style="170" customWidth="1"/>
    <col min="9" max="9" width="17.140625" style="171" customWidth="1"/>
    <col min="10" max="16384" width="8.85546875" style="171"/>
  </cols>
  <sheetData>
    <row r="1" spans="1:8" ht="18" x14ac:dyDescent="0.2">
      <c r="A1" s="166" t="s">
        <v>36</v>
      </c>
      <c r="B1" s="167"/>
      <c r="C1" s="168"/>
      <c r="D1" s="168"/>
      <c r="E1" s="168"/>
      <c r="F1" s="169"/>
    </row>
    <row r="2" spans="1:8" ht="18" x14ac:dyDescent="0.2">
      <c r="A2" s="166" t="s">
        <v>157</v>
      </c>
      <c r="B2" s="172"/>
      <c r="C2" s="172"/>
      <c r="D2" s="173"/>
      <c r="E2" s="173"/>
      <c r="F2" s="172"/>
      <c r="G2" s="172"/>
      <c r="H2" s="172"/>
    </row>
    <row r="3" spans="1:8" ht="9.75" customHeight="1" x14ac:dyDescent="0.2">
      <c r="A3" s="166"/>
      <c r="B3" s="172"/>
      <c r="C3" s="172"/>
      <c r="D3" s="173"/>
      <c r="E3" s="173"/>
      <c r="F3" s="172"/>
      <c r="G3" s="172"/>
      <c r="H3" s="172"/>
    </row>
    <row r="4" spans="1:8" x14ac:dyDescent="0.2">
      <c r="A4" s="174"/>
      <c r="B4" s="167"/>
      <c r="C4" s="168"/>
      <c r="D4" s="168"/>
      <c r="E4" s="168"/>
      <c r="F4" s="169"/>
    </row>
    <row r="5" spans="1:8" s="178" customFormat="1" ht="45" x14ac:dyDescent="0.2">
      <c r="A5" s="175" t="s">
        <v>158</v>
      </c>
      <c r="B5" s="176" t="s">
        <v>159</v>
      </c>
      <c r="C5" s="176" t="s">
        <v>160</v>
      </c>
      <c r="D5" s="176" t="s">
        <v>161</v>
      </c>
      <c r="E5" s="177"/>
      <c r="G5" s="177"/>
      <c r="H5" s="177"/>
    </row>
    <row r="6" spans="1:8" s="178" customFormat="1" ht="14.25" x14ac:dyDescent="0.2">
      <c r="A6" s="179" t="s">
        <v>162</v>
      </c>
      <c r="B6" s="180">
        <v>325</v>
      </c>
      <c r="C6" s="181">
        <v>295</v>
      </c>
      <c r="D6" s="181">
        <v>355</v>
      </c>
      <c r="E6" s="177"/>
      <c r="G6" s="177"/>
      <c r="H6" s="177"/>
    </row>
    <row r="7" spans="1:8" s="178" customFormat="1" ht="14.25" x14ac:dyDescent="0.2">
      <c r="A7" s="179" t="s">
        <v>163</v>
      </c>
      <c r="B7" s="180">
        <v>300</v>
      </c>
      <c r="C7" s="181">
        <v>295</v>
      </c>
      <c r="D7" s="181">
        <v>355</v>
      </c>
      <c r="E7" s="177"/>
      <c r="G7" s="177"/>
      <c r="H7" s="177"/>
    </row>
    <row r="8" spans="1:8" s="178" customFormat="1" ht="14.25" x14ac:dyDescent="0.2">
      <c r="A8" s="179" t="s">
        <v>164</v>
      </c>
      <c r="B8" s="180">
        <v>200</v>
      </c>
      <c r="C8" s="181">
        <v>136</v>
      </c>
      <c r="D8" s="181">
        <v>149</v>
      </c>
      <c r="E8" s="177"/>
      <c r="G8" s="177"/>
      <c r="H8" s="177"/>
    </row>
    <row r="9" spans="1:8" s="178" customFormat="1" ht="14.25" x14ac:dyDescent="0.2">
      <c r="A9" s="179" t="s">
        <v>165</v>
      </c>
      <c r="B9" s="180">
        <v>0</v>
      </c>
      <c r="C9" s="181">
        <v>0</v>
      </c>
      <c r="D9" s="181">
        <v>0</v>
      </c>
      <c r="E9" s="177"/>
      <c r="G9" s="177"/>
      <c r="H9" s="177"/>
    </row>
    <row r="10" spans="1:8" s="178" customFormat="1" ht="14.25" x14ac:dyDescent="0.2">
      <c r="A10" s="179" t="s">
        <v>166</v>
      </c>
      <c r="B10" s="180">
        <v>90</v>
      </c>
      <c r="C10" s="181">
        <v>49</v>
      </c>
      <c r="D10" s="181">
        <v>69</v>
      </c>
      <c r="E10" s="177"/>
      <c r="G10" s="177"/>
      <c r="H10" s="177"/>
    </row>
    <row r="11" spans="1:8" s="178" customFormat="1" ht="14.25" x14ac:dyDescent="0.2">
      <c r="A11" s="179" t="s">
        <v>167</v>
      </c>
      <c r="B11" s="180">
        <v>25</v>
      </c>
      <c r="C11" s="181">
        <v>25</v>
      </c>
      <c r="D11" s="181">
        <v>26</v>
      </c>
      <c r="E11" s="177"/>
      <c r="G11" s="177"/>
      <c r="H11" s="177"/>
    </row>
    <row r="12" spans="1:8" s="178" customFormat="1" ht="14.25" x14ac:dyDescent="0.2">
      <c r="A12" s="179" t="s">
        <v>168</v>
      </c>
      <c r="B12" s="180">
        <v>65</v>
      </c>
      <c r="C12" s="181">
        <v>51</v>
      </c>
      <c r="D12" s="181">
        <v>74</v>
      </c>
      <c r="E12" s="177"/>
      <c r="G12" s="177"/>
      <c r="H12" s="177"/>
    </row>
    <row r="13" spans="1:8" s="178" customFormat="1" ht="14.25" x14ac:dyDescent="0.2">
      <c r="A13" s="179" t="s">
        <v>169</v>
      </c>
      <c r="B13" s="180">
        <v>135</v>
      </c>
      <c r="C13" s="181">
        <v>99</v>
      </c>
      <c r="D13" s="181">
        <v>136</v>
      </c>
      <c r="E13" s="177"/>
      <c r="G13" s="177"/>
      <c r="H13" s="177"/>
    </row>
    <row r="14" spans="1:8" s="178" customFormat="1" ht="14.25" x14ac:dyDescent="0.2">
      <c r="A14" s="182"/>
      <c r="B14" s="183"/>
      <c r="C14" s="183"/>
      <c r="D14" s="183"/>
      <c r="E14" s="177"/>
      <c r="G14" s="177"/>
      <c r="H14" s="177"/>
    </row>
    <row r="15" spans="1:8" s="178" customFormat="1" ht="30" x14ac:dyDescent="0.2">
      <c r="A15" s="175" t="s">
        <v>170</v>
      </c>
      <c r="B15" s="176" t="s">
        <v>159</v>
      </c>
      <c r="C15" s="176" t="s">
        <v>160</v>
      </c>
      <c r="D15" s="176" t="s">
        <v>161</v>
      </c>
      <c r="E15" s="177"/>
      <c r="G15" s="177"/>
      <c r="H15" s="177"/>
    </row>
    <row r="16" spans="1:8" s="178" customFormat="1" ht="14.25" x14ac:dyDescent="0.2">
      <c r="A16" s="179" t="s">
        <v>171</v>
      </c>
      <c r="B16" s="180">
        <v>35</v>
      </c>
      <c r="C16" s="181">
        <v>28</v>
      </c>
      <c r="D16" s="181">
        <v>36</v>
      </c>
      <c r="E16" s="177"/>
      <c r="G16" s="177"/>
      <c r="H16" s="177"/>
    </row>
    <row r="17" spans="1:8" s="178" customFormat="1" ht="14.25" x14ac:dyDescent="0.2">
      <c r="A17" s="179" t="s">
        <v>172</v>
      </c>
      <c r="B17" s="180">
        <v>25</v>
      </c>
      <c r="C17" s="181">
        <v>12</v>
      </c>
      <c r="D17" s="181">
        <v>19</v>
      </c>
      <c r="E17" s="177"/>
      <c r="G17" s="177"/>
      <c r="H17" s="177"/>
    </row>
    <row r="18" spans="1:8" s="178" customFormat="1" ht="14.25" x14ac:dyDescent="0.2">
      <c r="A18" s="179" t="s">
        <v>173</v>
      </c>
      <c r="B18" s="180">
        <v>30</v>
      </c>
      <c r="C18" s="181">
        <v>27</v>
      </c>
      <c r="D18" s="181">
        <v>46</v>
      </c>
      <c r="E18" s="177"/>
      <c r="G18" s="177"/>
      <c r="H18" s="177"/>
    </row>
    <row r="19" spans="1:8" s="178" customFormat="1" ht="14.25" x14ac:dyDescent="0.2">
      <c r="A19" s="179" t="s">
        <v>174</v>
      </c>
      <c r="B19" s="180">
        <v>155</v>
      </c>
      <c r="C19" s="181">
        <v>180</v>
      </c>
      <c r="D19" s="181">
        <v>209</v>
      </c>
      <c r="E19" s="177"/>
      <c r="G19" s="177"/>
      <c r="H19" s="177"/>
    </row>
    <row r="20" spans="1:8" s="178" customFormat="1" ht="14.25" x14ac:dyDescent="0.2">
      <c r="A20" s="179" t="s">
        <v>175</v>
      </c>
      <c r="B20" s="180">
        <v>10</v>
      </c>
      <c r="C20" s="181">
        <v>1</v>
      </c>
      <c r="D20" s="181">
        <v>3</v>
      </c>
      <c r="E20" s="177"/>
      <c r="G20" s="177"/>
      <c r="H20" s="177"/>
    </row>
    <row r="21" spans="1:8" s="178" customFormat="1" ht="14.25" x14ac:dyDescent="0.2">
      <c r="A21" s="179" t="s">
        <v>176</v>
      </c>
      <c r="B21" s="180">
        <v>15</v>
      </c>
      <c r="C21" s="181">
        <v>14</v>
      </c>
      <c r="D21" s="181">
        <v>25</v>
      </c>
      <c r="E21" s="177"/>
      <c r="G21" s="177"/>
      <c r="H21" s="177"/>
    </row>
    <row r="22" spans="1:8" s="178" customFormat="1" ht="14.25" x14ac:dyDescent="0.2">
      <c r="A22" s="179" t="s">
        <v>177</v>
      </c>
      <c r="B22" s="180">
        <v>30</v>
      </c>
      <c r="C22" s="181">
        <v>33</v>
      </c>
      <c r="D22" s="181">
        <v>17</v>
      </c>
      <c r="E22" s="177"/>
      <c r="G22" s="177"/>
      <c r="H22" s="177"/>
    </row>
    <row r="23" spans="1:8" s="178" customFormat="1" ht="15" x14ac:dyDescent="0.2">
      <c r="A23" s="184" t="s">
        <v>178</v>
      </c>
      <c r="B23" s="185">
        <f>SUM(B16:B22)</f>
        <v>300</v>
      </c>
      <c r="C23" s="185">
        <f t="shared" ref="C23:D23" si="0">SUM(C16:C22)</f>
        <v>295</v>
      </c>
      <c r="D23" s="185">
        <f t="shared" si="0"/>
        <v>355</v>
      </c>
      <c r="E23" s="177"/>
      <c r="G23" s="177"/>
      <c r="H23" s="177"/>
    </row>
    <row r="24" spans="1:8" s="178" customFormat="1" ht="14.25" x14ac:dyDescent="0.2">
      <c r="B24" s="183"/>
      <c r="C24" s="183"/>
      <c r="D24" s="183"/>
      <c r="E24" s="177"/>
      <c r="G24" s="177"/>
      <c r="H24" s="177"/>
    </row>
    <row r="25" spans="1:8" s="178" customFormat="1" ht="30" x14ac:dyDescent="0.2">
      <c r="A25" s="175" t="s">
        <v>179</v>
      </c>
      <c r="B25" s="176" t="s">
        <v>159</v>
      </c>
      <c r="C25" s="176" t="s">
        <v>160</v>
      </c>
      <c r="D25" s="176" t="s">
        <v>161</v>
      </c>
      <c r="E25" s="177"/>
      <c r="G25" s="177"/>
      <c r="H25" s="177"/>
    </row>
    <row r="26" spans="1:8" s="178" customFormat="1" ht="14.25" x14ac:dyDescent="0.2">
      <c r="A26" s="179">
        <v>90401</v>
      </c>
      <c r="B26" s="180">
        <v>65</v>
      </c>
      <c r="C26" s="181">
        <v>76</v>
      </c>
      <c r="D26" s="181">
        <v>79</v>
      </c>
      <c r="E26" s="177"/>
      <c r="G26" s="177"/>
      <c r="H26" s="177"/>
    </row>
    <row r="27" spans="1:8" s="178" customFormat="1" ht="14.25" x14ac:dyDescent="0.2">
      <c r="A27" s="179">
        <v>90402</v>
      </c>
      <c r="B27" s="180">
        <v>10</v>
      </c>
      <c r="C27" s="181">
        <v>12</v>
      </c>
      <c r="D27" s="181">
        <v>12</v>
      </c>
      <c r="E27" s="177"/>
      <c r="G27" s="177"/>
      <c r="H27" s="177"/>
    </row>
    <row r="28" spans="1:8" s="178" customFormat="1" ht="14.25" x14ac:dyDescent="0.2">
      <c r="A28" s="179">
        <v>90403</v>
      </c>
      <c r="B28" s="180">
        <v>95</v>
      </c>
      <c r="C28" s="181">
        <v>88</v>
      </c>
      <c r="D28" s="181">
        <v>110</v>
      </c>
      <c r="E28" s="177"/>
      <c r="G28" s="177"/>
      <c r="H28" s="177"/>
    </row>
    <row r="29" spans="1:8" s="178" customFormat="1" ht="14.25" x14ac:dyDescent="0.2">
      <c r="A29" s="179">
        <v>90404</v>
      </c>
      <c r="B29" s="180">
        <v>65</v>
      </c>
      <c r="C29" s="181">
        <v>51</v>
      </c>
      <c r="D29" s="181">
        <v>74</v>
      </c>
      <c r="E29" s="177"/>
      <c r="G29" s="177"/>
      <c r="H29" s="177"/>
    </row>
    <row r="30" spans="1:8" s="178" customFormat="1" ht="14.25" x14ac:dyDescent="0.2">
      <c r="A30" s="179">
        <v>90405</v>
      </c>
      <c r="B30" s="180">
        <v>65</v>
      </c>
      <c r="C30" s="181">
        <v>68</v>
      </c>
      <c r="D30" s="181">
        <v>80</v>
      </c>
      <c r="E30" s="177"/>
      <c r="G30" s="177"/>
      <c r="H30" s="177"/>
    </row>
    <row r="31" spans="1:8" s="178" customFormat="1" ht="14.25" x14ac:dyDescent="0.2">
      <c r="A31" s="179" t="s">
        <v>180</v>
      </c>
      <c r="B31" s="180">
        <v>0</v>
      </c>
      <c r="C31" s="181">
        <v>0</v>
      </c>
      <c r="D31" s="181">
        <v>0</v>
      </c>
      <c r="E31" s="177"/>
      <c r="G31" s="177"/>
      <c r="H31" s="177"/>
    </row>
    <row r="32" spans="1:8" s="178" customFormat="1" ht="15" x14ac:dyDescent="0.2">
      <c r="A32" s="184" t="s">
        <v>178</v>
      </c>
      <c r="B32" s="185">
        <f>SUM(B26:B31)</f>
        <v>300</v>
      </c>
      <c r="C32" s="185">
        <f>SUM(C26:C31)</f>
        <v>295</v>
      </c>
      <c r="D32" s="185">
        <f>SUM(D26:D31)</f>
        <v>355</v>
      </c>
      <c r="E32" s="177"/>
      <c r="G32" s="177"/>
      <c r="H32" s="177"/>
    </row>
    <row r="33" spans="1:9" s="178" customFormat="1" ht="14.25" x14ac:dyDescent="0.2">
      <c r="B33" s="177"/>
      <c r="C33" s="183"/>
      <c r="D33" s="183"/>
      <c r="E33" s="177"/>
      <c r="G33" s="177"/>
      <c r="H33" s="177"/>
    </row>
    <row r="34" spans="1:9" s="178" customFormat="1" ht="30" customHeight="1" x14ac:dyDescent="0.2">
      <c r="A34" s="327" t="s">
        <v>181</v>
      </c>
      <c r="B34" s="329" t="s">
        <v>160</v>
      </c>
      <c r="C34" s="330"/>
      <c r="D34" s="330"/>
      <c r="E34" s="331"/>
      <c r="F34" s="329" t="s">
        <v>161</v>
      </c>
      <c r="G34" s="330"/>
      <c r="H34" s="330"/>
      <c r="I34" s="331"/>
    </row>
    <row r="35" spans="1:9" s="178" customFormat="1" ht="22.5" customHeight="1" x14ac:dyDescent="0.2">
      <c r="A35" s="328"/>
      <c r="B35" s="176" t="s">
        <v>182</v>
      </c>
      <c r="C35" s="176" t="s">
        <v>183</v>
      </c>
      <c r="D35" s="176" t="s">
        <v>184</v>
      </c>
      <c r="E35" s="176" t="s">
        <v>185</v>
      </c>
      <c r="F35" s="176" t="s">
        <v>182</v>
      </c>
      <c r="G35" s="176" t="s">
        <v>183</v>
      </c>
      <c r="H35" s="176" t="s">
        <v>184</v>
      </c>
      <c r="I35" s="176" t="s">
        <v>185</v>
      </c>
    </row>
    <row r="36" spans="1:9" s="178" customFormat="1" ht="14.25" x14ac:dyDescent="0.2">
      <c r="A36" s="186" t="s">
        <v>186</v>
      </c>
      <c r="B36" s="187"/>
      <c r="C36" s="188"/>
      <c r="D36" s="188"/>
      <c r="E36" s="188"/>
      <c r="F36" s="187"/>
      <c r="G36" s="188"/>
      <c r="H36" s="188"/>
      <c r="I36" s="188"/>
    </row>
    <row r="37" spans="1:9" s="178" customFormat="1" ht="14.25" x14ac:dyDescent="0.2">
      <c r="A37" s="189" t="s">
        <v>187</v>
      </c>
      <c r="B37" s="190"/>
      <c r="C37" s="188"/>
      <c r="D37" s="188"/>
      <c r="E37" s="188"/>
      <c r="F37" s="187"/>
      <c r="G37" s="188"/>
      <c r="H37" s="188"/>
      <c r="I37" s="188"/>
    </row>
    <row r="38" spans="1:9" s="178" customFormat="1" ht="14.25" x14ac:dyDescent="0.2">
      <c r="A38" s="189" t="s">
        <v>188</v>
      </c>
      <c r="B38" s="190"/>
      <c r="C38" s="188"/>
      <c r="D38" s="188"/>
      <c r="E38" s="188"/>
      <c r="F38" s="187"/>
      <c r="G38" s="188"/>
      <c r="H38" s="188"/>
      <c r="I38" s="188"/>
    </row>
    <row r="39" spans="1:9" s="178" customFormat="1" ht="14.25" x14ac:dyDescent="0.2">
      <c r="A39" s="186" t="s">
        <v>189</v>
      </c>
      <c r="B39" s="190"/>
      <c r="C39" s="188"/>
      <c r="D39" s="188"/>
      <c r="E39" s="188"/>
      <c r="F39" s="187"/>
      <c r="G39" s="188"/>
      <c r="H39" s="188"/>
      <c r="I39" s="188"/>
    </row>
    <row r="40" spans="1:9" s="178" customFormat="1" ht="14.25" x14ac:dyDescent="0.2">
      <c r="A40" s="186" t="s">
        <v>190</v>
      </c>
      <c r="B40" s="190"/>
      <c r="C40" s="188"/>
      <c r="D40" s="188"/>
      <c r="E40" s="188"/>
      <c r="F40" s="187"/>
      <c r="G40" s="188"/>
      <c r="H40" s="188"/>
      <c r="I40" s="188"/>
    </row>
    <row r="41" spans="1:9" s="178" customFormat="1" ht="14.25" x14ac:dyDescent="0.2">
      <c r="A41" s="186" t="s">
        <v>191</v>
      </c>
      <c r="B41" s="190"/>
      <c r="C41" s="188"/>
      <c r="D41" s="188"/>
      <c r="E41" s="188"/>
      <c r="F41" s="187"/>
      <c r="G41" s="188"/>
      <c r="H41" s="188"/>
      <c r="I41" s="188"/>
    </row>
    <row r="42" spans="1:9" s="178" customFormat="1" ht="14.25" x14ac:dyDescent="0.2">
      <c r="A42" s="186" t="s">
        <v>192</v>
      </c>
      <c r="B42" s="190"/>
      <c r="C42" s="188"/>
      <c r="D42" s="188"/>
      <c r="E42" s="188"/>
      <c r="F42" s="187"/>
      <c r="G42" s="188"/>
      <c r="H42" s="188"/>
      <c r="I42" s="188"/>
    </row>
    <row r="43" spans="1:9" s="178" customFormat="1" ht="14.25" x14ac:dyDescent="0.2">
      <c r="A43" s="186" t="s">
        <v>193</v>
      </c>
      <c r="B43" s="190">
        <v>1</v>
      </c>
      <c r="C43" s="188">
        <v>3</v>
      </c>
      <c r="D43" s="188"/>
      <c r="E43" s="188"/>
      <c r="F43" s="187">
        <v>5</v>
      </c>
      <c r="G43" s="188">
        <v>2</v>
      </c>
      <c r="H43" s="188"/>
      <c r="I43" s="188"/>
    </row>
    <row r="44" spans="1:9" s="178" customFormat="1" ht="14.25" x14ac:dyDescent="0.2">
      <c r="A44" s="186" t="s">
        <v>194</v>
      </c>
      <c r="B44" s="190">
        <v>29</v>
      </c>
      <c r="C44" s="188">
        <v>53</v>
      </c>
      <c r="D44" s="188"/>
      <c r="E44" s="188"/>
      <c r="F44" s="187">
        <v>37</v>
      </c>
      <c r="G44" s="188">
        <v>72</v>
      </c>
      <c r="H44" s="188"/>
      <c r="I44" s="188"/>
    </row>
    <row r="45" spans="1:9" s="178" customFormat="1" ht="14.25" x14ac:dyDescent="0.2">
      <c r="A45" s="186" t="s">
        <v>195</v>
      </c>
      <c r="B45" s="190">
        <v>44</v>
      </c>
      <c r="C45" s="188">
        <v>91</v>
      </c>
      <c r="D45" s="188"/>
      <c r="E45" s="188"/>
      <c r="F45" s="187">
        <v>46</v>
      </c>
      <c r="G45" s="188">
        <v>99</v>
      </c>
      <c r="H45" s="188"/>
      <c r="I45" s="188"/>
    </row>
    <row r="46" spans="1:9" s="178" customFormat="1" ht="14.25" x14ac:dyDescent="0.2">
      <c r="A46" s="186" t="s">
        <v>196</v>
      </c>
      <c r="B46" s="190">
        <v>25</v>
      </c>
      <c r="C46" s="188">
        <v>49</v>
      </c>
      <c r="D46" s="188"/>
      <c r="E46" s="188"/>
      <c r="F46" s="187">
        <v>33</v>
      </c>
      <c r="G46" s="188">
        <v>61</v>
      </c>
      <c r="H46" s="188"/>
      <c r="I46" s="188"/>
    </row>
    <row r="47" spans="1:9" ht="15" x14ac:dyDescent="0.2">
      <c r="A47" s="191" t="s">
        <v>178</v>
      </c>
      <c r="B47" s="192">
        <f t="shared" ref="B47:I47" si="1">SUM(B36:B46)</f>
        <v>99</v>
      </c>
      <c r="C47" s="192">
        <f t="shared" si="1"/>
        <v>196</v>
      </c>
      <c r="D47" s="192">
        <f t="shared" si="1"/>
        <v>0</v>
      </c>
      <c r="E47" s="192">
        <f t="shared" si="1"/>
        <v>0</v>
      </c>
      <c r="F47" s="192">
        <f t="shared" si="1"/>
        <v>121</v>
      </c>
      <c r="G47" s="192">
        <f t="shared" si="1"/>
        <v>234</v>
      </c>
      <c r="H47" s="192">
        <f t="shared" si="1"/>
        <v>0</v>
      </c>
      <c r="I47" s="192">
        <f t="shared" si="1"/>
        <v>0</v>
      </c>
    </row>
    <row r="48" spans="1:9" x14ac:dyDescent="0.2">
      <c r="C48" s="170"/>
    </row>
    <row r="49" spans="1:3" ht="45" x14ac:dyDescent="0.2">
      <c r="A49" s="175" t="s">
        <v>197</v>
      </c>
      <c r="B49" s="195" t="s">
        <v>159</v>
      </c>
      <c r="C49" s="196" t="s">
        <v>198</v>
      </c>
    </row>
    <row r="50" spans="1:3" ht="14.25" x14ac:dyDescent="0.2">
      <c r="A50" s="197"/>
      <c r="B50" s="140">
        <f>IFERROR(('PROGRAM BUDGET &amp; FISCAL REPORT'!G13/'PARTICIPANTS &amp; DEMOGRAPHICS'!B6),"N/A")</f>
        <v>951.67852307692294</v>
      </c>
      <c r="C50" s="140">
        <f>IFERROR(('PROGRAM BUDGET &amp; FISCAL REPORT'!N13/'PARTICIPANTS &amp; DEMOGRAPHICS'!D6),"N/A")</f>
        <v>708.04408450704227</v>
      </c>
    </row>
  </sheetData>
  <sheetProtection algorithmName="SHA-512" hashValue="ztj+Hpg1s4dIa/PaEtf/W4XtGtzPwK5dGlw0TJMf0S5WJQo/VR/D6ysSUFejLCQL7mNIOaenQFjM1h9yrv22OA==" saltValue="fbz2PdaAff8YQVBvY5nINA==" spinCount="100000" sheet="1" objects="1" scenarios="1"/>
  <mergeCells count="3">
    <mergeCell ref="A34:A35"/>
    <mergeCell ref="B34:E34"/>
    <mergeCell ref="F34:I34"/>
  </mergeCells>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9" hidden="1" customWidth="1"/>
    <col min="2" max="2" width="48.85546875" style="9" customWidth="1"/>
    <col min="3" max="3" width="15.42578125" style="11" customWidth="1"/>
    <col min="4" max="4" width="19.140625" style="11" customWidth="1"/>
    <col min="5" max="5" width="19.7109375" style="11" customWidth="1"/>
    <col min="6" max="6" width="19.42578125" style="11" customWidth="1"/>
    <col min="7" max="7" width="31.42578125" style="11" customWidth="1"/>
    <col min="8" max="16384" width="11.42578125" style="9"/>
  </cols>
  <sheetData>
    <row r="1" spans="1:8" ht="18" x14ac:dyDescent="0.25">
      <c r="A1" s="2"/>
      <c r="B1" s="96" t="s">
        <v>36</v>
      </c>
      <c r="C1" s="9"/>
      <c r="D1" s="9"/>
      <c r="E1" s="9"/>
      <c r="F1" s="9"/>
      <c r="G1" s="9"/>
    </row>
    <row r="2" spans="1:8" ht="18" x14ac:dyDescent="0.25">
      <c r="A2" s="2"/>
      <c r="B2" s="96" t="s">
        <v>199</v>
      </c>
      <c r="C2" s="9"/>
      <c r="D2" s="9"/>
      <c r="E2" s="9"/>
      <c r="F2" s="9"/>
      <c r="G2" s="9"/>
    </row>
    <row r="3" spans="1:8" ht="22.5" customHeight="1" x14ac:dyDescent="0.25">
      <c r="A3" s="2"/>
      <c r="B3" s="160" t="str">
        <f>'PROGRAM BUDGET &amp; FISCAL REPORT'!A6</f>
        <v>AGENCY NAME:</v>
      </c>
      <c r="C3" s="33" t="str">
        <f>'PROGRAM BUDGET &amp; FISCAL REPORT'!B6</f>
        <v>WISE &amp; Healthy Aging</v>
      </c>
      <c r="D3" s="34"/>
      <c r="E3" s="34"/>
      <c r="F3" s="34"/>
      <c r="G3" s="9"/>
    </row>
    <row r="4" spans="1:8" ht="22.5" customHeight="1" x14ac:dyDescent="0.25">
      <c r="A4" s="2"/>
      <c r="B4" s="160" t="str">
        <f>'PROGRAM BUDGET &amp; FISCAL REPORT'!A7</f>
        <v>PROGRAM NAME:</v>
      </c>
      <c r="C4" s="35" t="str">
        <f>'PROGRAM BUDGET &amp; FISCAL REPORT'!B7</f>
        <v xml:space="preserve">WISE Diner </v>
      </c>
      <c r="D4" s="36"/>
      <c r="E4" s="36"/>
      <c r="F4" s="36"/>
      <c r="G4" s="9"/>
    </row>
    <row r="5" spans="1:8" ht="8.25" customHeight="1" thickBot="1" x14ac:dyDescent="0.25">
      <c r="A5" s="2"/>
      <c r="B5" s="163"/>
      <c r="C5" s="9"/>
      <c r="D5" s="9"/>
      <c r="E5" s="9"/>
      <c r="F5" s="9"/>
      <c r="G5" s="9"/>
    </row>
    <row r="6" spans="1:8" ht="52.5" customHeight="1" x14ac:dyDescent="0.55000000000000004">
      <c r="B6" s="12" t="s">
        <v>200</v>
      </c>
      <c r="C6" s="13" t="s">
        <v>201</v>
      </c>
      <c r="D6" s="13"/>
      <c r="E6" s="13" t="s">
        <v>202</v>
      </c>
      <c r="F6" s="14"/>
      <c r="G6" s="9"/>
    </row>
    <row r="7" spans="1:8" ht="14.25" x14ac:dyDescent="0.2">
      <c r="B7" s="15" t="s">
        <v>203</v>
      </c>
      <c r="C7" s="16">
        <f>'PARTICIPANTS &amp; DEMOGRAPHICS'!B6</f>
        <v>325</v>
      </c>
      <c r="D7" s="17"/>
      <c r="E7" s="17">
        <f>'PARTICIPANTS &amp; DEMOGRAPHICS'!D6</f>
        <v>355</v>
      </c>
      <c r="F7" s="18"/>
      <c r="G7" s="9"/>
    </row>
    <row r="8" spans="1:8" ht="14.25" x14ac:dyDescent="0.2">
      <c r="B8" s="19" t="s">
        <v>204</v>
      </c>
      <c r="C8" s="16">
        <f>'PARTICIPANTS &amp; DEMOGRAPHICS'!B7</f>
        <v>300</v>
      </c>
      <c r="D8" s="17"/>
      <c r="E8" s="17">
        <f>'PARTICIPANTS &amp; DEMOGRAPHICS'!D7</f>
        <v>355</v>
      </c>
      <c r="F8" s="18"/>
      <c r="G8" s="9"/>
    </row>
    <row r="9" spans="1:8" ht="14.25" x14ac:dyDescent="0.2">
      <c r="B9" s="15" t="s">
        <v>205</v>
      </c>
      <c r="C9" s="32">
        <f>IFERROR(C8/C7, "N/A")</f>
        <v>0.92307692307692313</v>
      </c>
      <c r="D9" s="21"/>
      <c r="E9" s="42">
        <f>IFERROR(E8/E7, "N/A")</f>
        <v>1</v>
      </c>
      <c r="F9" s="18"/>
      <c r="G9" s="9"/>
    </row>
    <row r="10" spans="1:8" ht="14.25" x14ac:dyDescent="0.2">
      <c r="B10" s="15"/>
      <c r="C10" s="20"/>
      <c r="D10" s="21"/>
      <c r="E10" s="16"/>
      <c r="F10" s="18"/>
      <c r="G10" s="9"/>
    </row>
    <row r="11" spans="1:8" ht="63.75" customHeight="1" x14ac:dyDescent="0.55000000000000004">
      <c r="B11" s="22" t="s">
        <v>206</v>
      </c>
      <c r="C11" s="161" t="s">
        <v>207</v>
      </c>
      <c r="D11" s="161" t="s">
        <v>208</v>
      </c>
      <c r="E11" s="161" t="s">
        <v>209</v>
      </c>
      <c r="F11" s="162" t="s">
        <v>210</v>
      </c>
      <c r="G11" s="9"/>
    </row>
    <row r="12" spans="1:8" ht="16.5" customHeight="1" x14ac:dyDescent="0.2">
      <c r="B12" s="15" t="s">
        <v>211</v>
      </c>
      <c r="C12" s="37">
        <f>'PROGRAM BUDGET &amp; FISCAL REPORT'!G13</f>
        <v>309295.51999999996</v>
      </c>
      <c r="D12" s="37">
        <f>'PROGRAM BUDGET &amp; FISCAL REPORT'!H13</f>
        <v>248355.59</v>
      </c>
      <c r="E12" s="37">
        <f>'PROGRAM BUDGET &amp; FISCAL REPORT'!N13</f>
        <v>251355.65000000002</v>
      </c>
      <c r="F12" s="38">
        <f>'PROGRAM BUDGET &amp; FISCAL REPORT'!L13</f>
        <v>248355.62</v>
      </c>
      <c r="G12" s="9"/>
    </row>
    <row r="13" spans="1:8" ht="16.5" customHeight="1" x14ac:dyDescent="0.2">
      <c r="B13" s="15"/>
      <c r="C13" s="23"/>
      <c r="D13" s="23"/>
      <c r="E13" s="23"/>
      <c r="F13" s="24"/>
      <c r="G13" s="9"/>
    </row>
    <row r="14" spans="1:8" ht="19.5" x14ac:dyDescent="0.55000000000000004">
      <c r="B14" s="22" t="s">
        <v>212</v>
      </c>
      <c r="C14" s="332" t="s">
        <v>213</v>
      </c>
      <c r="D14" s="332"/>
      <c r="E14" s="332" t="s">
        <v>214</v>
      </c>
      <c r="F14" s="333"/>
      <c r="G14" s="9"/>
    </row>
    <row r="15" spans="1:8" ht="14.25" x14ac:dyDescent="0.2">
      <c r="B15" s="15" t="s">
        <v>215</v>
      </c>
      <c r="C15" s="39">
        <f>IFERROR(C12*C9,"N/A")</f>
        <v>285503.55692307692</v>
      </c>
      <c r="D15" s="25">
        <f>IFERROR(C15/C12,"N/A")</f>
        <v>0.92307692307692313</v>
      </c>
      <c r="E15" s="40">
        <f>IFERROR(E12*E9,"N/A")</f>
        <v>251355.65000000002</v>
      </c>
      <c r="F15" s="27">
        <f>IFERROR(E15/E12,"N/A")</f>
        <v>1</v>
      </c>
      <c r="G15" s="9"/>
    </row>
    <row r="16" spans="1:8" ht="14.25" x14ac:dyDescent="0.2">
      <c r="B16" s="15" t="s">
        <v>216</v>
      </c>
      <c r="C16" s="39">
        <f>D12</f>
        <v>248355.59</v>
      </c>
      <c r="D16" s="25">
        <f>IFERROR(C16/C15, "N/A")</f>
        <v>0.86988615019922266</v>
      </c>
      <c r="E16" s="40">
        <f>F12</f>
        <v>248355.62</v>
      </c>
      <c r="F16" s="27">
        <f>IFERROR(E16/E15, "N/A")</f>
        <v>0.98806460089518566</v>
      </c>
      <c r="G16" s="9"/>
      <c r="H16" s="10"/>
    </row>
    <row r="17" spans="2:7" ht="15" thickBot="1" x14ac:dyDescent="0.25">
      <c r="B17" s="15"/>
      <c r="C17" s="4"/>
      <c r="D17" s="25"/>
      <c r="E17" s="26"/>
      <c r="F17" s="27"/>
      <c r="G17" s="9"/>
    </row>
    <row r="18" spans="2:7" ht="15.75" thickBot="1" x14ac:dyDescent="0.3">
      <c r="B18" s="28" t="s">
        <v>217</v>
      </c>
      <c r="C18" s="41">
        <f>IFERROR(C15-C16,"N/A")</f>
        <v>37147.966923076921</v>
      </c>
      <c r="D18" s="29">
        <f>IFERROR(C18/C15, "N/A")</f>
        <v>0.13011384980077736</v>
      </c>
      <c r="E18" s="41">
        <f>IFERROR(E15-E16, "N/A")</f>
        <v>3000.0300000000279</v>
      </c>
      <c r="F18" s="30">
        <f>IFERROR(E18/E15, "N/A")</f>
        <v>1.1935399104814344E-2</v>
      </c>
      <c r="G18" s="9"/>
    </row>
    <row r="19" spans="2:7" ht="30.75" thickBot="1" x14ac:dyDescent="0.3">
      <c r="B19" s="15"/>
      <c r="C19" s="31"/>
      <c r="D19" s="152" t="s">
        <v>218</v>
      </c>
      <c r="E19" s="17"/>
      <c r="F19" s="152" t="s">
        <v>218</v>
      </c>
    </row>
    <row r="20" spans="2:7" s="1" customFormat="1" ht="12.75" x14ac:dyDescent="0.2">
      <c r="B20" s="9"/>
      <c r="C20" s="11"/>
      <c r="D20" s="11"/>
      <c r="E20" s="11"/>
      <c r="F20" s="11"/>
      <c r="G20" s="11"/>
    </row>
  </sheetData>
  <sheetProtection algorithmName="SHA-512" hashValue="kuEZxA1Bg97sS/eMzKVDXKy8BqzF7GLrkL5NTCEL4WNygrfNkdgBBla1Iey2hJFzyrsUlpu4TD57lLKbF0z9Jw==" saltValue="sEaK0BlyFSaA3kvR1qQNPQ==" spinCount="100000" sheet="1" objects="1" scenarios="1"/>
  <mergeCells count="2">
    <mergeCell ref="C14:D14"/>
    <mergeCell ref="E14:F14"/>
  </mergeCells>
  <pageMargins left="1" right="1" top="0.81" bottom="0.5" header="0.5" footer="0.5"/>
  <pageSetup scale="69" orientation="portrait" horizontalDpi="4294967295" verticalDpi="4294967295" r:id="rId1"/>
  <headerFooter alignWithMargins="0">
    <oddHeader>&amp;C&amp;"Arial,Bold"&amp;12Cash Match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41"/>
  <sheetViews>
    <sheetView zoomScaleNormal="100" workbookViewId="0">
      <selection activeCell="F1" sqref="F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8" customFormat="1" ht="18" x14ac:dyDescent="0.2">
      <c r="A1" s="99" t="s">
        <v>36</v>
      </c>
      <c r="B1" s="107"/>
      <c r="C1" s="100"/>
      <c r="D1" s="100"/>
      <c r="E1" s="100"/>
      <c r="F1" s="88"/>
      <c r="G1" s="88"/>
    </row>
    <row r="2" spans="1:7" ht="18" x14ac:dyDescent="0.25">
      <c r="A2" s="337" t="s">
        <v>219</v>
      </c>
      <c r="B2" s="338"/>
      <c r="C2" s="338"/>
      <c r="D2" s="338"/>
      <c r="E2" s="338"/>
    </row>
    <row r="3" spans="1:7" ht="15.75" x14ac:dyDescent="0.2">
      <c r="A3" s="43"/>
    </row>
    <row r="4" spans="1:7" ht="79.5" customHeight="1" x14ac:dyDescent="0.2">
      <c r="A4" s="339" t="s">
        <v>220</v>
      </c>
      <c r="B4" s="340"/>
      <c r="C4" s="340"/>
      <c r="D4" s="340"/>
      <c r="E4" s="340"/>
    </row>
    <row r="5" spans="1:7" ht="15" x14ac:dyDescent="0.2">
      <c r="A5" s="44"/>
      <c r="B5" s="45"/>
      <c r="C5" s="45"/>
      <c r="D5" s="45"/>
      <c r="E5" s="45"/>
    </row>
    <row r="6" spans="1:7" ht="45" x14ac:dyDescent="0.25">
      <c r="A6" s="341" t="s">
        <v>221</v>
      </c>
      <c r="B6" s="342"/>
      <c r="C6" s="164" t="s">
        <v>222</v>
      </c>
      <c r="D6" s="164" t="s">
        <v>223</v>
      </c>
      <c r="E6" s="46" t="s">
        <v>224</v>
      </c>
    </row>
    <row r="7" spans="1:7" ht="15" x14ac:dyDescent="0.25">
      <c r="A7" s="47" t="s">
        <v>225</v>
      </c>
      <c r="B7" s="48"/>
      <c r="C7" s="47"/>
      <c r="D7" s="47"/>
      <c r="E7" s="47"/>
    </row>
    <row r="8" spans="1:7" ht="15" x14ac:dyDescent="0.25">
      <c r="A8" s="49" t="s">
        <v>61</v>
      </c>
      <c r="B8" s="49" t="s">
        <v>226</v>
      </c>
      <c r="C8" s="50">
        <v>10000</v>
      </c>
      <c r="D8" s="50">
        <v>15000</v>
      </c>
      <c r="E8" s="47"/>
    </row>
    <row r="9" spans="1:7" ht="15" x14ac:dyDescent="0.25">
      <c r="A9" s="51"/>
      <c r="B9" s="52"/>
      <c r="C9" s="52"/>
      <c r="E9" s="53"/>
    </row>
    <row r="10" spans="1:7" ht="15" x14ac:dyDescent="0.25">
      <c r="A10" s="336" t="s">
        <v>146</v>
      </c>
      <c r="B10" s="335"/>
      <c r="C10" s="335"/>
      <c r="D10" s="335"/>
      <c r="E10" s="335"/>
    </row>
    <row r="11" spans="1:7" ht="14.25" x14ac:dyDescent="0.2">
      <c r="A11" s="54" t="s">
        <v>227</v>
      </c>
      <c r="B11" s="54" t="s">
        <v>228</v>
      </c>
      <c r="C11" s="63">
        <v>1125416</v>
      </c>
      <c r="D11" s="63">
        <v>1187140</v>
      </c>
      <c r="E11" s="55"/>
    </row>
    <row r="12" spans="1:7" ht="14.25" x14ac:dyDescent="0.2">
      <c r="A12" s="54" t="s">
        <v>229</v>
      </c>
      <c r="B12" s="54" t="s">
        <v>230</v>
      </c>
      <c r="C12" s="63">
        <f>2583365-175000</f>
        <v>2408365</v>
      </c>
      <c r="D12" s="63">
        <v>2203958</v>
      </c>
      <c r="E12" s="55"/>
    </row>
    <row r="13" spans="1:7" ht="14.25" x14ac:dyDescent="0.2">
      <c r="A13" s="54" t="s">
        <v>231</v>
      </c>
      <c r="B13" s="54" t="s">
        <v>232</v>
      </c>
      <c r="C13" s="63">
        <v>134284</v>
      </c>
      <c r="D13" s="63">
        <v>0</v>
      </c>
      <c r="E13" s="55"/>
    </row>
    <row r="14" spans="1:7" ht="14.25" x14ac:dyDescent="0.2">
      <c r="A14" s="54" t="s">
        <v>61</v>
      </c>
      <c r="B14" s="54" t="s">
        <v>233</v>
      </c>
      <c r="C14" s="63">
        <v>175000</v>
      </c>
      <c r="D14" s="63">
        <v>225000</v>
      </c>
      <c r="E14" s="56"/>
    </row>
    <row r="15" spans="1:7" ht="14.25" x14ac:dyDescent="0.2">
      <c r="A15" s="57"/>
      <c r="B15" s="57"/>
      <c r="C15" s="57"/>
      <c r="D15" s="58"/>
      <c r="E15" s="59"/>
    </row>
    <row r="16" spans="1:7" ht="15" x14ac:dyDescent="0.25">
      <c r="A16" s="336" t="s">
        <v>147</v>
      </c>
      <c r="B16" s="335"/>
      <c r="C16" s="335"/>
      <c r="D16" s="335"/>
      <c r="E16" s="335"/>
    </row>
    <row r="17" spans="1:5" ht="14.25" x14ac:dyDescent="0.2">
      <c r="B17" s="54" t="s">
        <v>234</v>
      </c>
      <c r="C17" s="63">
        <v>200000</v>
      </c>
      <c r="D17" s="63">
        <v>100000</v>
      </c>
      <c r="E17" s="55"/>
    </row>
    <row r="18" spans="1:5" ht="14.25" x14ac:dyDescent="0.2">
      <c r="B18" s="54" t="s">
        <v>235</v>
      </c>
      <c r="C18" s="63"/>
      <c r="D18" s="63">
        <v>50000</v>
      </c>
      <c r="E18" s="55"/>
    </row>
    <row r="19" spans="1:5" ht="14.25" x14ac:dyDescent="0.2">
      <c r="B19" s="54" t="s">
        <v>236</v>
      </c>
      <c r="C19" s="63">
        <v>0</v>
      </c>
      <c r="D19" s="63">
        <v>50000</v>
      </c>
      <c r="E19" s="55"/>
    </row>
    <row r="20" spans="1:5" ht="14.25" x14ac:dyDescent="0.2">
      <c r="B20" s="54" t="s">
        <v>237</v>
      </c>
      <c r="C20" s="63">
        <v>0</v>
      </c>
      <c r="D20" s="63">
        <f>27500+22500</f>
        <v>50000</v>
      </c>
      <c r="E20" s="56"/>
    </row>
    <row r="21" spans="1:5" ht="14.25" x14ac:dyDescent="0.2">
      <c r="A21" s="57"/>
      <c r="B21" s="57"/>
      <c r="C21" s="57"/>
      <c r="D21" s="58"/>
      <c r="E21" s="59"/>
    </row>
    <row r="22" spans="1:5" ht="15" x14ac:dyDescent="0.25">
      <c r="A22" s="336" t="s">
        <v>148</v>
      </c>
      <c r="B22" s="335"/>
      <c r="C22" s="335"/>
      <c r="D22" s="335"/>
      <c r="E22" s="335"/>
    </row>
    <row r="23" spans="1:5" ht="14.25" x14ac:dyDescent="0.2">
      <c r="B23" s="54" t="s">
        <v>238</v>
      </c>
      <c r="C23" s="63">
        <v>306367</v>
      </c>
      <c r="D23" s="63">
        <v>250000</v>
      </c>
      <c r="E23" s="55"/>
    </row>
    <row r="24" spans="1:5" ht="14.25" x14ac:dyDescent="0.2">
      <c r="B24" s="54" t="s">
        <v>139</v>
      </c>
      <c r="C24" s="63">
        <v>0</v>
      </c>
      <c r="D24" s="63">
        <v>0</v>
      </c>
      <c r="E24" s="56"/>
    </row>
    <row r="25" spans="1:5" ht="14.25" x14ac:dyDescent="0.2">
      <c r="A25" s="57"/>
      <c r="B25" s="57"/>
      <c r="C25" s="57"/>
      <c r="D25" s="58"/>
      <c r="E25" s="59"/>
    </row>
    <row r="26" spans="1:5" ht="15" x14ac:dyDescent="0.25">
      <c r="A26" s="336" t="s">
        <v>149</v>
      </c>
      <c r="B26" s="335"/>
      <c r="C26" s="335"/>
      <c r="D26" s="335"/>
      <c r="E26" s="335"/>
    </row>
    <row r="27" spans="1:5" ht="14.25" x14ac:dyDescent="0.2">
      <c r="B27" s="54" t="s">
        <v>139</v>
      </c>
      <c r="C27" s="63">
        <v>0</v>
      </c>
      <c r="D27" s="63">
        <v>0</v>
      </c>
      <c r="E27" s="55"/>
    </row>
    <row r="28" spans="1:5" ht="14.25" x14ac:dyDescent="0.2">
      <c r="B28" s="54" t="s">
        <v>139</v>
      </c>
      <c r="C28" s="63">
        <v>0</v>
      </c>
      <c r="D28" s="63">
        <v>0</v>
      </c>
      <c r="E28" s="56"/>
    </row>
    <row r="29" spans="1:5" ht="14.25" x14ac:dyDescent="0.2">
      <c r="A29" s="57"/>
      <c r="B29" s="57"/>
      <c r="C29" s="57"/>
      <c r="D29" s="58"/>
      <c r="E29" s="59"/>
    </row>
    <row r="30" spans="1:5" ht="15" x14ac:dyDescent="0.25">
      <c r="A30" s="336" t="s">
        <v>150</v>
      </c>
      <c r="B30" s="335"/>
      <c r="C30" s="335"/>
      <c r="D30" s="335"/>
      <c r="E30" s="335"/>
    </row>
    <row r="31" spans="1:5" ht="14.25" x14ac:dyDescent="0.2">
      <c r="B31" s="54" t="s">
        <v>239</v>
      </c>
      <c r="C31" s="63">
        <v>535000</v>
      </c>
      <c r="D31" s="63">
        <v>550000</v>
      </c>
      <c r="E31" s="55"/>
    </row>
    <row r="32" spans="1:5" ht="14.25" x14ac:dyDescent="0.2">
      <c r="B32" s="54" t="s">
        <v>240</v>
      </c>
      <c r="C32" s="63">
        <v>27000</v>
      </c>
      <c r="D32" s="63">
        <v>25000</v>
      </c>
      <c r="E32" s="55"/>
    </row>
    <row r="33" spans="1:5" ht="14.25" x14ac:dyDescent="0.2">
      <c r="B33" s="54" t="s">
        <v>241</v>
      </c>
      <c r="C33" s="63">
        <v>114400</v>
      </c>
      <c r="D33" s="63">
        <v>100000</v>
      </c>
      <c r="E33" s="56"/>
    </row>
    <row r="34" spans="1:5" ht="14.25" x14ac:dyDescent="0.2">
      <c r="A34" s="57"/>
      <c r="B34" s="57"/>
      <c r="C34" s="57"/>
      <c r="D34" s="58"/>
      <c r="E34" s="59"/>
    </row>
    <row r="35" spans="1:5" ht="15" x14ac:dyDescent="0.25">
      <c r="A35" s="336" t="s">
        <v>152</v>
      </c>
      <c r="B35" s="335"/>
      <c r="C35" s="335"/>
      <c r="D35" s="335"/>
      <c r="E35" s="335"/>
    </row>
    <row r="36" spans="1:5" ht="14.25" x14ac:dyDescent="0.2">
      <c r="B36" s="54" t="s">
        <v>139</v>
      </c>
      <c r="C36" s="63">
        <v>0</v>
      </c>
      <c r="D36" s="63">
        <v>0</v>
      </c>
      <c r="E36" s="55"/>
    </row>
    <row r="37" spans="1:5" ht="14.25" x14ac:dyDescent="0.2">
      <c r="B37" s="54" t="s">
        <v>139</v>
      </c>
      <c r="C37" s="63">
        <v>0</v>
      </c>
      <c r="D37" s="63">
        <v>0</v>
      </c>
      <c r="E37" s="56"/>
    </row>
    <row r="38" spans="1:5" x14ac:dyDescent="0.2">
      <c r="A38" s="60"/>
      <c r="B38" s="60"/>
      <c r="C38" s="60"/>
      <c r="D38" s="60"/>
      <c r="E38" s="61"/>
    </row>
    <row r="39" spans="1:5" ht="15" x14ac:dyDescent="0.25">
      <c r="A39" s="336" t="s">
        <v>153</v>
      </c>
      <c r="B39" s="336"/>
      <c r="C39" s="69">
        <f>SUM(C10:C38)</f>
        <v>5025832</v>
      </c>
      <c r="D39" s="69">
        <f>SUM(D10:D38)</f>
        <v>4791098</v>
      </c>
      <c r="E39" s="70"/>
    </row>
    <row r="40" spans="1:5" x14ac:dyDescent="0.2">
      <c r="A40" s="62"/>
      <c r="B40" s="62"/>
      <c r="C40" s="62"/>
      <c r="D40" s="62"/>
      <c r="E40" s="62"/>
    </row>
    <row r="41" spans="1:5" x14ac:dyDescent="0.2">
      <c r="A41" s="334"/>
      <c r="B41" s="335"/>
      <c r="C41" s="335"/>
      <c r="D41" s="335"/>
      <c r="E41" s="335"/>
    </row>
  </sheetData>
  <sheetProtection algorithmName="SHA-512" hashValue="oznAqDAavREMM6ZAdMcbatJadXpAGhfpKfDRzFk1Q470TTVQOdj4qCaLWQ4b7baROGxeKSJ6MSUx4G2N/MxKeg==" saltValue="gp1sQb1qDn71SajOce9O8w==" spinCount="100000" sheet="1" objects="1" scenarios="1"/>
  <mergeCells count="11">
    <mergeCell ref="A2:E2"/>
    <mergeCell ref="A4:E4"/>
    <mergeCell ref="A6:B6"/>
    <mergeCell ref="A10:E10"/>
    <mergeCell ref="A22:E22"/>
    <mergeCell ref="A41:E41"/>
    <mergeCell ref="A35:E35"/>
    <mergeCell ref="A39:B39"/>
    <mergeCell ref="A16:E16"/>
    <mergeCell ref="A30:E30"/>
    <mergeCell ref="A26:E26"/>
  </mergeCells>
  <pageMargins left="0.75" right="0.75" top="1" bottom="0.90849999999999997" header="0.5" footer="0.5"/>
  <pageSetup scale="78" firstPageNumber="8" orientation="portrait" r:id="rId1"/>
  <headerFooter alignWithMargins="0">
    <oddFooter>&amp;LCity of Santa Monica
Exhibit C – Program Budget
&amp;C&amp;P&amp;RFiscal Year 2020-21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111DD-AA3B-4CED-924C-8D872DF93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2023-11-28T22:16:58Z</cp:lastPrinted>
  <dcterms:created xsi:type="dcterms:W3CDTF">1999-10-15T17:33:56Z</dcterms:created>
  <dcterms:modified xsi:type="dcterms:W3CDTF">2023-11-28T22:18:11Z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