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smgov365.sharepoint.com/teams/ccspool/HSDHSGP/HSGP Reports for Posting/2023-24 YE Source Docs/2 FY 2-23-24 READY TO POST/"/>
    </mc:Choice>
  </mc:AlternateContent>
  <xr:revisionPtr revIDLastSave="935" documentId="8_{E015BE86-5464-42F0-8351-E97ADDF09206}" xr6:coauthVersionLast="47" xr6:coauthVersionMax="47" xr10:uidLastSave="{8F351942-81CB-428C-8E46-6A333D13163A}"/>
  <bookViews>
    <workbookView xWindow="28680" yWindow="-120" windowWidth="29040" windowHeight="16440" tabRatio="605" activeTab="1" xr2:uid="{00000000-000D-0000-FFFF-FFFF00000000}"/>
  </bookViews>
  <sheets>
    <sheet name="INSTRUCTIONS" sheetId="29" r:id="rId1"/>
    <sheet name="FISCAL REPORT" sheetId="36" r:id="rId2"/>
    <sheet name="PARTICIPANT DEMOGRAPHICS" sheetId="35" r:id="rId3"/>
    <sheet name="CASH MATCH" sheetId="14" r:id="rId4"/>
    <sheet name="PROGRAM EVALUATION" sheetId="37" r:id="rId5"/>
    <sheet name="ESRI_MAPINFO_SHEET" sheetId="31" state="veryHidden" r:id="rId6"/>
  </sheets>
  <definedNames>
    <definedName name="Health_and_Wellness" localSheetId="4">'PROGRAM EVALUATION'!$E$27:$E$31</definedName>
    <definedName name="Health_and_Wellness">#REF!</definedName>
    <definedName name="Lifelong_Learning" localSheetId="4">'PROGRAM EVALUATION'!$C$27:$C$31</definedName>
    <definedName name="Lifelong_Learning">#REF!</definedName>
    <definedName name="Stability" localSheetId="4">'PROGRAM EVALUATION'!$D$27:$D$31</definedName>
    <definedName name="Stabilit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0" i="36" l="1"/>
  <c r="H150" i="36"/>
  <c r="I150" i="36"/>
  <c r="J150" i="36"/>
  <c r="K150" i="36"/>
  <c r="L150" i="36"/>
  <c r="M150" i="36"/>
  <c r="G150" i="36"/>
  <c r="J58" i="36"/>
  <c r="H58" i="36"/>
  <c r="G58" i="36"/>
  <c r="D58" i="36"/>
  <c r="I49" i="36"/>
  <c r="K49" i="36"/>
  <c r="L49" i="36"/>
  <c r="M49" i="36"/>
  <c r="I50" i="36"/>
  <c r="L50" i="36"/>
  <c r="M50" i="36"/>
  <c r="I51" i="36"/>
  <c r="K51" i="36"/>
  <c r="L51" i="36"/>
  <c r="M51" i="36"/>
  <c r="I52" i="36"/>
  <c r="L52" i="36"/>
  <c r="M52" i="36"/>
  <c r="I53" i="36"/>
  <c r="L53" i="36"/>
  <c r="M53" i="36"/>
  <c r="I54" i="36"/>
  <c r="L54" i="36"/>
  <c r="M54" i="36"/>
  <c r="I55" i="36"/>
  <c r="L55" i="36"/>
  <c r="M55" i="36"/>
  <c r="I56" i="36"/>
  <c r="L56" i="36"/>
  <c r="M56" i="36"/>
  <c r="I57" i="36"/>
  <c r="K57" i="36"/>
  <c r="L57" i="36"/>
  <c r="M57" i="36"/>
  <c r="I48" i="36"/>
  <c r="H48" i="36"/>
  <c r="J48" i="36"/>
  <c r="K48" i="36"/>
  <c r="L48" i="36"/>
  <c r="M48" i="36" s="1"/>
  <c r="N48" i="36"/>
  <c r="G48" i="36"/>
  <c r="D48" i="36"/>
  <c r="K59" i="36"/>
  <c r="L156" i="36"/>
  <c r="L77" i="36"/>
  <c r="K64" i="36"/>
  <c r="K74" i="36"/>
  <c r="K66" i="36"/>
  <c r="I83" i="36"/>
  <c r="L83" i="36"/>
  <c r="M83" i="36" s="1"/>
  <c r="L14" i="37"/>
  <c r="L15" i="37"/>
  <c r="L13" i="37"/>
  <c r="L12" i="37"/>
  <c r="L11" i="37"/>
  <c r="L10" i="37"/>
  <c r="K119" i="36"/>
  <c r="K114" i="36"/>
  <c r="K76" i="36"/>
  <c r="K71" i="36"/>
  <c r="K68" i="36"/>
  <c r="K61" i="36"/>
  <c r="L64" i="36"/>
  <c r="M64" i="36" s="1"/>
  <c r="I64" i="36"/>
  <c r="L74" i="36"/>
  <c r="M74" i="36" s="1"/>
  <c r="I74" i="36"/>
  <c r="L73" i="36"/>
  <c r="M73" i="36" s="1"/>
  <c r="I73" i="36"/>
  <c r="M77" i="36"/>
  <c r="I77" i="36"/>
  <c r="L82" i="36"/>
  <c r="M82" i="36" s="1"/>
  <c r="I82" i="36"/>
  <c r="L149" i="36"/>
  <c r="M149" i="36" s="1"/>
  <c r="I149" i="36"/>
  <c r="L148" i="36"/>
  <c r="M148" i="36" s="1"/>
  <c r="I148" i="36"/>
  <c r="L181" i="36"/>
  <c r="L72" i="36"/>
  <c r="M72" i="36" s="1"/>
  <c r="L70" i="36"/>
  <c r="M70" i="36" s="1"/>
  <c r="I72" i="36"/>
  <c r="I70" i="36"/>
  <c r="L81" i="36"/>
  <c r="M81" i="36" s="1"/>
  <c r="I81" i="36"/>
  <c r="L68" i="36"/>
  <c r="M68" i="36" s="1"/>
  <c r="I68" i="36"/>
  <c r="L66" i="36"/>
  <c r="M66" i="36" s="1"/>
  <c r="I66" i="36"/>
  <c r="I63" i="36"/>
  <c r="L63" i="36"/>
  <c r="M63" i="36" s="1"/>
  <c r="L201" i="36"/>
  <c r="M201" i="36" s="1"/>
  <c r="I201" i="36"/>
  <c r="K58" i="36" l="1"/>
  <c r="L116" i="36"/>
  <c r="M116" i="36" s="1"/>
  <c r="I116" i="36"/>
  <c r="L115" i="36"/>
  <c r="M115" i="36" s="1"/>
  <c r="I115" i="36"/>
  <c r="L114" i="36"/>
  <c r="M114" i="36" s="1"/>
  <c r="I114" i="36"/>
  <c r="L113" i="36"/>
  <c r="M113" i="36" s="1"/>
  <c r="I113" i="36"/>
  <c r="L112" i="36"/>
  <c r="M112" i="36" s="1"/>
  <c r="I112" i="36"/>
  <c r="L111" i="36"/>
  <c r="M111" i="36" s="1"/>
  <c r="I111" i="36"/>
  <c r="L110" i="36"/>
  <c r="M110" i="36" s="1"/>
  <c r="I110" i="36"/>
  <c r="L109" i="36"/>
  <c r="M109" i="36" s="1"/>
  <c r="I109" i="36"/>
  <c r="L108" i="36"/>
  <c r="M108" i="36" s="1"/>
  <c r="I108" i="36"/>
  <c r="L107" i="36"/>
  <c r="M107" i="36" s="1"/>
  <c r="I107" i="36"/>
  <c r="L106" i="36"/>
  <c r="M106" i="36" s="1"/>
  <c r="I106" i="36"/>
  <c r="L105" i="36"/>
  <c r="M105" i="36" s="1"/>
  <c r="I105" i="36"/>
  <c r="L104" i="36"/>
  <c r="M104" i="36" s="1"/>
  <c r="I104" i="36"/>
  <c r="L103" i="36"/>
  <c r="M103" i="36" s="1"/>
  <c r="I103" i="36"/>
  <c r="L102" i="36"/>
  <c r="M102" i="36" s="1"/>
  <c r="I102" i="36"/>
  <c r="L101" i="36"/>
  <c r="M101" i="36" s="1"/>
  <c r="I101" i="36"/>
  <c r="L100" i="36"/>
  <c r="M100" i="36" s="1"/>
  <c r="I100" i="36"/>
  <c r="L99" i="36"/>
  <c r="M99" i="36" s="1"/>
  <c r="I99" i="36"/>
  <c r="L98" i="36"/>
  <c r="M98" i="36" s="1"/>
  <c r="I98" i="36"/>
  <c r="L97" i="36"/>
  <c r="M97" i="36" s="1"/>
  <c r="I97" i="36"/>
  <c r="L96" i="36"/>
  <c r="M96" i="36" s="1"/>
  <c r="I96" i="36"/>
  <c r="L95" i="36"/>
  <c r="M95" i="36" s="1"/>
  <c r="I95" i="36"/>
  <c r="L94" i="36"/>
  <c r="M94" i="36" s="1"/>
  <c r="I94" i="36"/>
  <c r="L93" i="36"/>
  <c r="M93" i="36" s="1"/>
  <c r="I93" i="36"/>
  <c r="L92" i="36"/>
  <c r="M92" i="36" s="1"/>
  <c r="I92" i="36"/>
  <c r="L91" i="36"/>
  <c r="M91" i="36" s="1"/>
  <c r="I91" i="36"/>
  <c r="L90" i="36"/>
  <c r="M90" i="36" s="1"/>
  <c r="I90" i="36"/>
  <c r="L89" i="36"/>
  <c r="M89" i="36" s="1"/>
  <c r="I89" i="36"/>
  <c r="L88" i="36"/>
  <c r="M88" i="36" s="1"/>
  <c r="I88" i="36"/>
  <c r="L87" i="36"/>
  <c r="M87" i="36" s="1"/>
  <c r="I87" i="36"/>
  <c r="L86" i="36"/>
  <c r="M86" i="36" s="1"/>
  <c r="I86" i="36"/>
  <c r="L85" i="36"/>
  <c r="M85" i="36" s="1"/>
  <c r="I85" i="36"/>
  <c r="L84" i="36"/>
  <c r="M84" i="36" s="1"/>
  <c r="I84" i="36"/>
  <c r="L80" i="36"/>
  <c r="M80" i="36" s="1"/>
  <c r="I80" i="36"/>
  <c r="L79" i="36"/>
  <c r="M79" i="36" s="1"/>
  <c r="I79" i="36"/>
  <c r="L78" i="36"/>
  <c r="M78" i="36" s="1"/>
  <c r="I78" i="36"/>
  <c r="L76" i="36"/>
  <c r="M76" i="36" s="1"/>
  <c r="I76" i="36"/>
  <c r="L75" i="36"/>
  <c r="M75" i="36" s="1"/>
  <c r="I75" i="36"/>
  <c r="L71" i="36"/>
  <c r="M71" i="36" s="1"/>
  <c r="I71" i="36"/>
  <c r="L69" i="36"/>
  <c r="M69" i="36" s="1"/>
  <c r="I69" i="36"/>
  <c r="L67" i="36"/>
  <c r="M67" i="36" s="1"/>
  <c r="I67" i="36"/>
  <c r="L65" i="36"/>
  <c r="M65" i="36" s="1"/>
  <c r="I65" i="36"/>
  <c r="L62" i="36"/>
  <c r="M62" i="36" s="1"/>
  <c r="I62" i="36"/>
  <c r="L60" i="36"/>
  <c r="M60" i="36" s="1"/>
  <c r="I60" i="36"/>
  <c r="L59" i="36"/>
  <c r="I59" i="36"/>
  <c r="L144" i="36"/>
  <c r="M144" i="36" s="1"/>
  <c r="I144" i="36"/>
  <c r="L143" i="36"/>
  <c r="M143" i="36" s="1"/>
  <c r="I143" i="36"/>
  <c r="L142" i="36"/>
  <c r="M142" i="36" s="1"/>
  <c r="I142" i="36"/>
  <c r="L141" i="36"/>
  <c r="M141" i="36" s="1"/>
  <c r="I141" i="36"/>
  <c r="L140" i="36"/>
  <c r="M140" i="36" s="1"/>
  <c r="I140" i="36"/>
  <c r="L139" i="36"/>
  <c r="M139" i="36" s="1"/>
  <c r="I139" i="36"/>
  <c r="L138" i="36"/>
  <c r="M138" i="36" s="1"/>
  <c r="I138" i="36"/>
  <c r="L137" i="36"/>
  <c r="M137" i="36" s="1"/>
  <c r="I137" i="36"/>
  <c r="L136" i="36"/>
  <c r="M136" i="36" s="1"/>
  <c r="I136" i="36"/>
  <c r="L135" i="36"/>
  <c r="M135" i="36" s="1"/>
  <c r="I135" i="36"/>
  <c r="L134" i="36"/>
  <c r="M134" i="36" s="1"/>
  <c r="I134" i="36"/>
  <c r="L133" i="36"/>
  <c r="M133" i="36" s="1"/>
  <c r="I133" i="36"/>
  <c r="L132" i="36"/>
  <c r="M132" i="36" s="1"/>
  <c r="I132" i="36"/>
  <c r="L131" i="36"/>
  <c r="M131" i="36" s="1"/>
  <c r="I131" i="36"/>
  <c r="L130" i="36"/>
  <c r="M130" i="36" s="1"/>
  <c r="I130" i="36"/>
  <c r="L129" i="36"/>
  <c r="M129" i="36" s="1"/>
  <c r="I129" i="36"/>
  <c r="L128" i="36"/>
  <c r="M128" i="36" s="1"/>
  <c r="I128" i="36"/>
  <c r="L127" i="36"/>
  <c r="M127" i="36" s="1"/>
  <c r="I127" i="36"/>
  <c r="L126" i="36"/>
  <c r="M126" i="36" s="1"/>
  <c r="I126" i="36"/>
  <c r="L125" i="36"/>
  <c r="M125" i="36" s="1"/>
  <c r="I125" i="36"/>
  <c r="L124" i="36"/>
  <c r="M124" i="36" s="1"/>
  <c r="I124" i="36"/>
  <c r="L123" i="36"/>
  <c r="M123" i="36" s="1"/>
  <c r="I123" i="36"/>
  <c r="L122" i="36"/>
  <c r="M122" i="36" s="1"/>
  <c r="I122" i="36"/>
  <c r="L121" i="36"/>
  <c r="M121" i="36" s="1"/>
  <c r="I121" i="36"/>
  <c r="L120" i="36"/>
  <c r="M120" i="36" s="1"/>
  <c r="I120" i="36"/>
  <c r="L119" i="36"/>
  <c r="M119" i="36" s="1"/>
  <c r="I119" i="36"/>
  <c r="L118" i="36"/>
  <c r="M118" i="36" s="1"/>
  <c r="I118" i="36"/>
  <c r="L117" i="36"/>
  <c r="M117" i="36" s="1"/>
  <c r="I117" i="36"/>
  <c r="L61" i="36"/>
  <c r="M61" i="36" s="1"/>
  <c r="I61" i="36"/>
  <c r="L147" i="36"/>
  <c r="M147" i="36" s="1"/>
  <c r="I147" i="36"/>
  <c r="L146" i="36"/>
  <c r="M146" i="36" s="1"/>
  <c r="I146" i="36"/>
  <c r="L145" i="36"/>
  <c r="M145" i="36" s="1"/>
  <c r="I145" i="36"/>
  <c r="I58" i="36" l="1"/>
  <c r="M59" i="36"/>
  <c r="L58" i="36"/>
  <c r="M58" i="36" s="1"/>
  <c r="B6" i="14"/>
  <c r="B5" i="14"/>
  <c r="H44" i="35" l="1"/>
  <c r="G44" i="35"/>
  <c r="C38" i="35"/>
  <c r="B38" i="35"/>
  <c r="H55" i="35"/>
  <c r="G55" i="35"/>
  <c r="C57" i="35"/>
  <c r="B57" i="35"/>
  <c r="E10" i="14" l="1"/>
  <c r="E9" i="14"/>
  <c r="C10" i="14"/>
  <c r="C9" i="14"/>
  <c r="G28" i="35"/>
  <c r="F28" i="35"/>
  <c r="E28" i="35"/>
  <c r="N222" i="36"/>
  <c r="N25" i="36" s="1"/>
  <c r="K222" i="36"/>
  <c r="K25" i="36" s="1"/>
  <c r="J222" i="36"/>
  <c r="J25" i="36" s="1"/>
  <c r="H222" i="36"/>
  <c r="H25" i="36" s="1"/>
  <c r="G222" i="36"/>
  <c r="G25" i="36" s="1"/>
  <c r="L221" i="36"/>
  <c r="M221" i="36" s="1"/>
  <c r="I221" i="36"/>
  <c r="L220" i="36"/>
  <c r="I220" i="36"/>
  <c r="N219" i="36"/>
  <c r="M219" i="36"/>
  <c r="L219" i="36"/>
  <c r="K219" i="36"/>
  <c r="J219" i="36"/>
  <c r="I219" i="36"/>
  <c r="H219" i="36"/>
  <c r="G219" i="36"/>
  <c r="N213" i="36"/>
  <c r="N24" i="36" s="1"/>
  <c r="K213" i="36"/>
  <c r="K24" i="36" s="1"/>
  <c r="J213" i="36"/>
  <c r="J24" i="36" s="1"/>
  <c r="H213" i="36"/>
  <c r="H24" i="36" s="1"/>
  <c r="G213" i="36"/>
  <c r="G24" i="36" s="1"/>
  <c r="L212" i="36"/>
  <c r="M212" i="36" s="1"/>
  <c r="I212" i="36"/>
  <c r="L211" i="36"/>
  <c r="M211" i="36" s="1"/>
  <c r="I211" i="36"/>
  <c r="L210" i="36"/>
  <c r="M210" i="36" s="1"/>
  <c r="I210" i="36"/>
  <c r="L209" i="36"/>
  <c r="M209" i="36" s="1"/>
  <c r="I209" i="36"/>
  <c r="L208" i="36"/>
  <c r="M208" i="36" s="1"/>
  <c r="I208" i="36"/>
  <c r="N207" i="36"/>
  <c r="M207" i="36"/>
  <c r="L207" i="36"/>
  <c r="K207" i="36"/>
  <c r="J207" i="36"/>
  <c r="I207" i="36"/>
  <c r="H207" i="36"/>
  <c r="G207" i="36"/>
  <c r="N203" i="36"/>
  <c r="N23" i="36" s="1"/>
  <c r="K203" i="36"/>
  <c r="K23" i="36" s="1"/>
  <c r="J203" i="36"/>
  <c r="J23" i="36" s="1"/>
  <c r="H203" i="36"/>
  <c r="H23" i="36" s="1"/>
  <c r="G203" i="36"/>
  <c r="G23" i="36" s="1"/>
  <c r="L202" i="36"/>
  <c r="M202" i="36" s="1"/>
  <c r="I202" i="36"/>
  <c r="L200" i="36"/>
  <c r="M200" i="36" s="1"/>
  <c r="I200" i="36"/>
  <c r="L199" i="36"/>
  <c r="M199" i="36" s="1"/>
  <c r="I199" i="36"/>
  <c r="L198" i="36"/>
  <c r="M198" i="36" s="1"/>
  <c r="I198" i="36"/>
  <c r="L197" i="36"/>
  <c r="M197" i="36" s="1"/>
  <c r="I197" i="36"/>
  <c r="L196" i="36"/>
  <c r="M196" i="36" s="1"/>
  <c r="I196" i="36"/>
  <c r="L195" i="36"/>
  <c r="M195" i="36" s="1"/>
  <c r="I195" i="36"/>
  <c r="L194" i="36"/>
  <c r="M194" i="36" s="1"/>
  <c r="I194" i="36"/>
  <c r="N193" i="36"/>
  <c r="M193" i="36"/>
  <c r="L193" i="36"/>
  <c r="K193" i="36"/>
  <c r="J193" i="36"/>
  <c r="I193" i="36"/>
  <c r="H193" i="36"/>
  <c r="G193" i="36"/>
  <c r="N189" i="36"/>
  <c r="N22" i="36" s="1"/>
  <c r="K189" i="36"/>
  <c r="K22" i="36" s="1"/>
  <c r="J189" i="36"/>
  <c r="J22" i="36" s="1"/>
  <c r="H189" i="36"/>
  <c r="H22" i="36" s="1"/>
  <c r="G189" i="36"/>
  <c r="G22" i="36" s="1"/>
  <c r="L188" i="36"/>
  <c r="M188" i="36" s="1"/>
  <c r="I188" i="36"/>
  <c r="L187" i="36"/>
  <c r="M187" i="36" s="1"/>
  <c r="I187" i="36"/>
  <c r="L186" i="36"/>
  <c r="M186" i="36" s="1"/>
  <c r="I186" i="36"/>
  <c r="L185" i="36"/>
  <c r="M185" i="36" s="1"/>
  <c r="I185" i="36"/>
  <c r="L184" i="36"/>
  <c r="M184" i="36" s="1"/>
  <c r="I184" i="36"/>
  <c r="L183" i="36"/>
  <c r="M183" i="36" s="1"/>
  <c r="I183" i="36"/>
  <c r="L182" i="36"/>
  <c r="M182" i="36" s="1"/>
  <c r="I182" i="36"/>
  <c r="M181" i="36"/>
  <c r="I181" i="36"/>
  <c r="L180" i="36"/>
  <c r="M180" i="36" s="1"/>
  <c r="I180" i="36"/>
  <c r="L179" i="36"/>
  <c r="M179" i="36" s="1"/>
  <c r="I179" i="36"/>
  <c r="L178" i="36"/>
  <c r="M178" i="36" s="1"/>
  <c r="I178" i="36"/>
  <c r="L177" i="36"/>
  <c r="M177" i="36" s="1"/>
  <c r="I177" i="36"/>
  <c r="L176" i="36"/>
  <c r="I176" i="36"/>
  <c r="N175" i="36"/>
  <c r="M175" i="36"/>
  <c r="L175" i="36"/>
  <c r="K175" i="36"/>
  <c r="J175" i="36"/>
  <c r="I175" i="36"/>
  <c r="H175" i="36"/>
  <c r="G175" i="36"/>
  <c r="N171" i="36"/>
  <c r="N21" i="36" s="1"/>
  <c r="K171" i="36"/>
  <c r="K21" i="36" s="1"/>
  <c r="J171" i="36"/>
  <c r="J21" i="36" s="1"/>
  <c r="H171" i="36"/>
  <c r="H21" i="36" s="1"/>
  <c r="G171" i="36"/>
  <c r="G21" i="36" s="1"/>
  <c r="L170" i="36"/>
  <c r="M170" i="36" s="1"/>
  <c r="I170" i="36"/>
  <c r="L169" i="36"/>
  <c r="M169" i="36" s="1"/>
  <c r="I169" i="36"/>
  <c r="L168" i="36"/>
  <c r="M168" i="36" s="1"/>
  <c r="I168" i="36"/>
  <c r="L167" i="36"/>
  <c r="M167" i="36" s="1"/>
  <c r="I167" i="36"/>
  <c r="N166" i="36"/>
  <c r="M166" i="36"/>
  <c r="L166" i="36"/>
  <c r="K166" i="36"/>
  <c r="J166" i="36"/>
  <c r="I166" i="36"/>
  <c r="H166" i="36"/>
  <c r="G166" i="36"/>
  <c r="N162" i="36"/>
  <c r="N20" i="36" s="1"/>
  <c r="K162" i="36"/>
  <c r="K20" i="36" s="1"/>
  <c r="J162" i="36"/>
  <c r="J20" i="36" s="1"/>
  <c r="H162" i="36"/>
  <c r="H20" i="36" s="1"/>
  <c r="G162" i="36"/>
  <c r="G20" i="36" s="1"/>
  <c r="L161" i="36"/>
  <c r="M161" i="36" s="1"/>
  <c r="I161" i="36"/>
  <c r="L160" i="36"/>
  <c r="M160" i="36" s="1"/>
  <c r="I160" i="36"/>
  <c r="L159" i="36"/>
  <c r="M159" i="36" s="1"/>
  <c r="I159" i="36"/>
  <c r="L158" i="36"/>
  <c r="M158" i="36" s="1"/>
  <c r="I158" i="36"/>
  <c r="L157" i="36"/>
  <c r="M157" i="36" s="1"/>
  <c r="I157" i="36"/>
  <c r="M156" i="36"/>
  <c r="I156" i="36"/>
  <c r="L155" i="36"/>
  <c r="I155" i="36"/>
  <c r="N154" i="36"/>
  <c r="M154" i="36"/>
  <c r="L154" i="36"/>
  <c r="K154" i="36"/>
  <c r="J154" i="36"/>
  <c r="I154" i="36"/>
  <c r="H154" i="36"/>
  <c r="G154" i="36"/>
  <c r="N19" i="36"/>
  <c r="K19" i="36"/>
  <c r="J19" i="36"/>
  <c r="H19" i="36"/>
  <c r="G19" i="36"/>
  <c r="N47" i="36"/>
  <c r="M47" i="36"/>
  <c r="L47" i="36"/>
  <c r="K47" i="36"/>
  <c r="J47" i="36"/>
  <c r="I47" i="36"/>
  <c r="H47" i="36"/>
  <c r="G47" i="36"/>
  <c r="D26" i="36"/>
  <c r="D25" i="36"/>
  <c r="D24" i="36"/>
  <c r="D23" i="36"/>
  <c r="D22" i="36"/>
  <c r="D21" i="36"/>
  <c r="D20" i="36"/>
  <c r="D19" i="36"/>
  <c r="I203" i="36" l="1"/>
  <c r="I23" i="36" s="1"/>
  <c r="I222" i="36"/>
  <c r="I25" i="36" s="1"/>
  <c r="I162" i="36"/>
  <c r="I20" i="36" s="1"/>
  <c r="K224" i="36"/>
  <c r="K26" i="36" s="1"/>
  <c r="L162" i="36"/>
  <c r="L20" i="36" s="1"/>
  <c r="M20" i="36" s="1"/>
  <c r="G224" i="36"/>
  <c r="G26" i="36" s="1"/>
  <c r="C14" i="14" s="1"/>
  <c r="N224" i="36"/>
  <c r="N26" i="36" s="1"/>
  <c r="E14" i="14" s="1"/>
  <c r="I171" i="36"/>
  <c r="I21" i="36" s="1"/>
  <c r="L222" i="36"/>
  <c r="M222" i="36" s="1"/>
  <c r="H224" i="36"/>
  <c r="F220" i="36" s="1"/>
  <c r="I19" i="36"/>
  <c r="L189" i="36"/>
  <c r="M189" i="36" s="1"/>
  <c r="I189" i="36"/>
  <c r="I22" i="36" s="1"/>
  <c r="I213" i="36"/>
  <c r="I24" i="36" s="1"/>
  <c r="J224" i="36"/>
  <c r="J26" i="36" s="1"/>
  <c r="L171" i="36"/>
  <c r="M155" i="36"/>
  <c r="L203" i="36"/>
  <c r="L213" i="36"/>
  <c r="M176" i="36"/>
  <c r="M220" i="36"/>
  <c r="M162" i="36" l="1"/>
  <c r="L25" i="36"/>
  <c r="M25" i="36" s="1"/>
  <c r="L22" i="36"/>
  <c r="M22" i="36" s="1"/>
  <c r="H26" i="36"/>
  <c r="D14" i="14" s="1"/>
  <c r="I224" i="36"/>
  <c r="I26" i="36" s="1"/>
  <c r="L24" i="36"/>
  <c r="M24" i="36" s="1"/>
  <c r="M213" i="36"/>
  <c r="L19" i="36"/>
  <c r="M19" i="36" s="1"/>
  <c r="L23" i="36"/>
  <c r="M23" i="36" s="1"/>
  <c r="M203" i="36"/>
  <c r="M171" i="36"/>
  <c r="L21" i="36"/>
  <c r="M21" i="36" s="1"/>
  <c r="L224" i="36"/>
  <c r="L26" i="36" l="1"/>
  <c r="F14" i="14" s="1"/>
  <c r="M224" i="36"/>
  <c r="M26" i="36" l="1"/>
  <c r="B27" i="36"/>
  <c r="D28" i="35" l="1"/>
  <c r="C28" i="35"/>
  <c r="B28" i="35"/>
  <c r="C18" i="14" l="1"/>
  <c r="E11" i="14"/>
  <c r="C11" i="14"/>
  <c r="C17" i="14" l="1"/>
  <c r="D17" i="14" s="1"/>
  <c r="E17" i="14" l="1"/>
  <c r="F17" i="14" s="1"/>
  <c r="D18" i="14"/>
  <c r="C20" i="14"/>
  <c r="D20" i="14" s="1"/>
  <c r="E18" i="14" l="1"/>
  <c r="E20" i="14" s="1"/>
  <c r="F18" i="14" l="1"/>
  <c r="F20" i="14"/>
</calcChain>
</file>

<file path=xl/sharedStrings.xml><?xml version="1.0" encoding="utf-8"?>
<sst xmlns="http://schemas.openxmlformats.org/spreadsheetml/2006/main" count="583" uniqueCount="407">
  <si>
    <t>FY 2023-24 Human Services Grants Program</t>
  </si>
  <si>
    <t>Exhibit B</t>
  </si>
  <si>
    <t>Program Budget and Evaluation Workbook</t>
  </si>
  <si>
    <t>REPORTS</t>
  </si>
  <si>
    <t>REPORT PERIOD</t>
  </si>
  <si>
    <t>REPORT DEADLINE</t>
  </si>
  <si>
    <t>Mid-Year Program and Fiscal Status Reports</t>
  </si>
  <si>
    <t>7/1/2023 – 12/31/2023</t>
  </si>
  <si>
    <t>Year-End Program and Fiscal Status Reports</t>
  </si>
  <si>
    <t>7/1/2023 – 6/30/2024</t>
  </si>
  <si>
    <t>OVERVIEW</t>
  </si>
  <si>
    <t>HSGP grantees will use this document as a single tool to:
1) Establish the Program Budget
2) Submit Mid-Year Reporting
3) Submit Year-End Reporting</t>
  </si>
  <si>
    <t>For organizations granted HSGP funding for multiple programs, separate Mid-Year and Year-End Status Reports are required for each program.</t>
  </si>
  <si>
    <t xml:space="preserve">Please Note: All reports and supporting documents submitted to the City are considered public record and are subject to disclosure under the Public Records Act.  Further note that staff may use the information herein, in whole or in part, to provide Council and the public with reports of agency performance, including demographics, outcomes, successes, findings, and concerns. To the extent possible, please avoid inclusion of any Personally Identifiable Information (PII), or other confidential information, except where absolutely necessary. </t>
  </si>
  <si>
    <t>CITY OF SANTA MONICA</t>
  </si>
  <si>
    <t>FY 2023-24 PROGRAM BUDGET &amp; FISCAL REPORTING TEMPLATE</t>
  </si>
  <si>
    <t>INSTRUCTIONS</t>
  </si>
  <si>
    <r>
      <t xml:space="preserve">Input periodic data into the grey shaded cells, as described in the instructions below. All other cells are locked for editing. Cells containing formulas will automatically calculate. Please report any issues to </t>
    </r>
    <r>
      <rPr>
        <b/>
        <u/>
        <sz val="11"/>
        <rFont val="Arial"/>
        <family val="2"/>
      </rPr>
      <t>humanservices@santamonica.gov</t>
    </r>
    <r>
      <rPr>
        <sz val="11"/>
        <rFont val="Arial"/>
        <family val="2"/>
      </rPr>
      <t xml:space="preserve">  </t>
    </r>
  </si>
  <si>
    <r>
      <t xml:space="preserve">SECTION I: BUDGET SUMMARY: </t>
    </r>
    <r>
      <rPr>
        <sz val="10"/>
        <rFont val="Arial"/>
        <family val="2"/>
      </rPr>
      <t xml:space="preserve"> The Budget Summary section contains locked cells that will auto-populate as you complete Section III: Line Item Detail</t>
    </r>
  </si>
  <si>
    <r>
      <rPr>
        <b/>
        <sz val="10"/>
        <rFont val="Arial"/>
        <family val="2"/>
      </rPr>
      <t xml:space="preserve">REPORTING PERIOD:  </t>
    </r>
    <r>
      <rPr>
        <sz val="10"/>
        <rFont val="Arial"/>
        <family val="2"/>
      </rPr>
      <t>Use the drop-down box to select the appropriate reporting period (Mid-Year, or Year-End)</t>
    </r>
  </si>
  <si>
    <r>
      <rPr>
        <b/>
        <sz val="10"/>
        <rFont val="Arial"/>
        <family val="2"/>
      </rPr>
      <t xml:space="preserve">Total City Funds Received to Date: </t>
    </r>
    <r>
      <rPr>
        <sz val="10"/>
        <rFont val="Arial"/>
        <family val="2"/>
      </rPr>
      <t>Enter the amount of current year HSGP payments received to date</t>
    </r>
  </si>
  <si>
    <t>SECTION II: SUPPORTING DOCUMENTATION:</t>
  </si>
  <si>
    <r>
      <rPr>
        <b/>
        <sz val="10"/>
        <rFont val="Arial"/>
        <family val="2"/>
      </rPr>
      <t>DATE UPLOADED TO SHAREPOINT</t>
    </r>
    <r>
      <rPr>
        <sz val="10"/>
        <rFont val="Arial"/>
        <family val="2"/>
      </rPr>
      <t>:  Enter the date on which the required Supporting Documentation was uploaded/submitted for each reporting period</t>
    </r>
  </si>
  <si>
    <t xml:space="preserve"> </t>
  </si>
  <si>
    <t>SECTION III: LINE ITEM DETAIL</t>
  </si>
  <si>
    <r>
      <rPr>
        <b/>
        <sz val="10"/>
        <rFont val="Arial"/>
        <family val="2"/>
      </rPr>
      <t xml:space="preserve">HSGP MID-YEAR EXPEND (Column J): </t>
    </r>
    <r>
      <rPr>
        <sz val="10"/>
        <rFont val="Arial"/>
        <family val="2"/>
      </rPr>
      <t xml:space="preserve">Populate the grey shaded cells with year-to-date HSGP grant expenditures
</t>
    </r>
    <r>
      <rPr>
        <b/>
        <sz val="10"/>
        <rFont val="Arial"/>
        <family val="2"/>
      </rPr>
      <t>HSGP YEAR-END EXPEND (Column K):</t>
    </r>
    <r>
      <rPr>
        <sz val="10"/>
        <rFont val="Arial"/>
        <family val="2"/>
      </rPr>
      <t xml:space="preserve"> Populate the grey shaded cells with year-end HSGP grant expenditures
</t>
    </r>
    <r>
      <rPr>
        <b/>
        <sz val="10"/>
        <rFont val="Arial"/>
        <family val="2"/>
      </rPr>
      <t>YEAR-END TOTAL PROGRAM EXPEND (Column N)</t>
    </r>
    <r>
      <rPr>
        <sz val="10"/>
        <rFont val="Arial"/>
        <family val="2"/>
      </rPr>
      <t>: Populate the grey shaded cells with year-end Total Program Expenditures (includes expenditures from all funding sources)</t>
    </r>
  </si>
  <si>
    <r>
      <rPr>
        <b/>
        <i/>
        <sz val="10"/>
        <rFont val="Arial"/>
        <family val="2"/>
      </rPr>
      <t xml:space="preserve">Mid-year Agency Variance Report (Column O) / Year-end Agency Variance Report (Column Q): </t>
    </r>
    <r>
      <rPr>
        <sz val="10"/>
        <rFont val="Arial"/>
        <family val="2"/>
      </rPr>
      <t>Provide a brief explanation of any significant budget variances for each reporting period. 
A significant budget variance is one that will modify the Program Budget by 10% or more and by not less than $1000 for the following:
    - The subtotal of any expenditure category in Section III: Lite Item Detail (subsections 1A - 6)
    - Any subcontract with an organization providing direct client services; or
    - Any subsidy, stipend, grant, or award to program participants or direct service providers.
If the above criteria are met, please contact your grant analyst to discuss whether a budget modification is necessary. Any subsequent updates required due to approved Budget Modifications will be incorporated by City staff.</t>
    </r>
  </si>
  <si>
    <t>SECTION I:  BUDGET SUMMARY</t>
  </si>
  <si>
    <t>TOTAL
PROGRAM
BUDGET</t>
  </si>
  <si>
    <t>HSGP GRANT
BUDGET</t>
  </si>
  <si>
    <t>NON-CITY PROGRAM BUDGET</t>
  </si>
  <si>
    <t>HSGP
MID-YEAR EXPEND.</t>
  </si>
  <si>
    <t>HSGP
YEAR-END EXPEND.</t>
  </si>
  <si>
    <t>HSGP TOTAL EXPEND.</t>
  </si>
  <si>
    <t>HSGP PERCENT EXPENDED</t>
  </si>
  <si>
    <t>YEAR-END
 TOTAL PROGRAM EXPEND.</t>
  </si>
  <si>
    <t>AGENCY NAME:</t>
  </si>
  <si>
    <t>The Chrysalis Center</t>
  </si>
  <si>
    <t>PROGRAM NAME:</t>
  </si>
  <si>
    <t>Chrysalis Santa Monica Employment Center (SMEC)</t>
  </si>
  <si>
    <t>REPORTING PERIOD:</t>
  </si>
  <si>
    <t>Year-End Report (2nd Period): 7/1/23 - 6/30/24</t>
  </si>
  <si>
    <t>A. Total City Funds Received to Date:</t>
  </si>
  <si>
    <t>B. Total City Funds Expended to Date:</t>
  </si>
  <si>
    <t>C. Cash Balance (Line A - Line B):</t>
  </si>
  <si>
    <r>
      <t xml:space="preserve">SECTION II: SUPPORTING DOCUMENTATION: </t>
    </r>
    <r>
      <rPr>
        <sz val="11"/>
        <rFont val="Arial"/>
        <family val="2"/>
      </rPr>
      <t xml:space="preserve">The City requires grantees to submit supporting documentation along with their Mid-Year and Year-End Fiscal Status Reports. Documentation MUST provide a detailed accounting of expenditures </t>
    </r>
  </si>
  <si>
    <t xml:space="preserve">charged to the HSGP grant and MUST reconcile to total HSGP grant expenditures for the associated period. Acceptable forms of documentation will be generated from the grantee’s financial system and include General Ledger </t>
  </si>
  <si>
    <t>or Profit and Loss Detail reports. The City WILL NOT ACCEPT documentation that does provide sufficient detail and/or does not reconcile to total Santa Monica grant expenditures for the associated period.</t>
  </si>
  <si>
    <t>SUPPORTING DOCUMENTATION FOR HSGP GRANT EXPENDITURES (MID-YEAR)</t>
  </si>
  <si>
    <t>DATE UPLOADED TO SHAREPOINT:</t>
  </si>
  <si>
    <t>SUPPORTING DOCUMENTATION FOR HSGP GRANT EXPENDITURES (YEAR-END)</t>
  </si>
  <si>
    <t>FY 2023-24 Program Budget: 7/1/23 - 6/30/24</t>
  </si>
  <si>
    <t>Senior/Executive Management</t>
  </si>
  <si>
    <t>Mid-Year Report (1st Period): 7/1/23 - 12/31/23</t>
  </si>
  <si>
    <t>Administrative Support</t>
  </si>
  <si>
    <t>Direct Service Provision/Program Staff</t>
  </si>
  <si>
    <t>SECTION III:  LINE ITEM DETAIL</t>
  </si>
  <si>
    <t>1A.  Staff Salaries</t>
  </si>
  <si>
    <t>List all paid program and administrative positions (both City and non-City funded) and complete all fields below.</t>
  </si>
  <si>
    <t>Staff Name</t>
  </si>
  <si>
    <t>Title</t>
  </si>
  <si>
    <t>Position Classification</t>
  </si>
  <si>
    <t>FTE (Agency Wide)</t>
  </si>
  <si>
    <t>Bianca Smith</t>
  </si>
  <si>
    <t>Assistant Vice President, Program Operations</t>
  </si>
  <si>
    <t>Trevor Kale</t>
  </si>
  <si>
    <t>VP, Chrysalis Enterprises</t>
  </si>
  <si>
    <t>Molly Larson</t>
  </si>
  <si>
    <t>VP, Program Operations</t>
  </si>
  <si>
    <t xml:space="preserve">Michael Graff-Weisner </t>
  </si>
  <si>
    <t>VP, Strategy &amp; External Relations</t>
  </si>
  <si>
    <t>Mark Loranger</t>
  </si>
  <si>
    <t>President &amp; Chief Executive Officer</t>
  </si>
  <si>
    <t>Carlyne Ervin</t>
  </si>
  <si>
    <t>VP, Human Resources</t>
  </si>
  <si>
    <t>Norman Bullock</t>
  </si>
  <si>
    <t>VP, Finance &amp; IT</t>
  </si>
  <si>
    <t>TBD</t>
  </si>
  <si>
    <t>Grace Fitzgerald</t>
  </si>
  <si>
    <t>Assistant Vice President, Chrysalis Enterprises</t>
  </si>
  <si>
    <t>John Sonego</t>
  </si>
  <si>
    <t>VP, Development and Communications</t>
  </si>
  <si>
    <t>Nancy Martinez</t>
  </si>
  <si>
    <t>Community Engagement Manager</t>
  </si>
  <si>
    <t>Diana Jara</t>
  </si>
  <si>
    <t xml:space="preserve">Grants Analyst </t>
  </si>
  <si>
    <t>Shannon Miner</t>
  </si>
  <si>
    <t>Community Engagement Coordinator</t>
  </si>
  <si>
    <t>Sharon Melgar</t>
  </si>
  <si>
    <t>Renee Uribe Villalobos</t>
  </si>
  <si>
    <t>Kevin Glover</t>
  </si>
  <si>
    <t>Director of Program Operations, Santa Monica</t>
  </si>
  <si>
    <t>Nichole Fowler</t>
  </si>
  <si>
    <t>Ricardo Alfaro</t>
  </si>
  <si>
    <t>Senior Employment Specialist</t>
  </si>
  <si>
    <t>Sawyer Auer</t>
  </si>
  <si>
    <t>Richard Ferrari</t>
  </si>
  <si>
    <t>Employment Specialist</t>
  </si>
  <si>
    <t>Amir Hill</t>
  </si>
  <si>
    <t>Cecilia Gomez</t>
  </si>
  <si>
    <t>Program Manager, Client Services</t>
  </si>
  <si>
    <t>Elizabeth Howell</t>
  </si>
  <si>
    <t>Client Services Administrator</t>
  </si>
  <si>
    <t>Kevin McDaniel</t>
  </si>
  <si>
    <t>Client Services Admin</t>
  </si>
  <si>
    <t>Nayelie Zazueta</t>
  </si>
  <si>
    <t>Nicole Kauhola</t>
  </si>
  <si>
    <t>Davi Fiahlo</t>
  </si>
  <si>
    <t>Client Services Coordinator</t>
  </si>
  <si>
    <t>Margarita Rameriz</t>
  </si>
  <si>
    <t>Floater Employment Specialist</t>
  </si>
  <si>
    <t>Volunteer &amp; Program Coordinator</t>
  </si>
  <si>
    <t>Victor Torres</t>
  </si>
  <si>
    <t xml:space="preserve"> Volunteer &amp; Program Coordinator</t>
  </si>
  <si>
    <t>Kendall Halliburton</t>
  </si>
  <si>
    <t>Alexandra Gutierrez</t>
  </si>
  <si>
    <t>Brianna Dau</t>
  </si>
  <si>
    <t>Business Development Manager, SECTOR</t>
  </si>
  <si>
    <t>Emily Dannenberg</t>
  </si>
  <si>
    <t>Sr.Career Coach, SECTOR</t>
  </si>
  <si>
    <t>Alan Zeng</t>
  </si>
  <si>
    <t>Director, SECTOR</t>
  </si>
  <si>
    <t>Hannah Allison</t>
  </si>
  <si>
    <t>Program Administrator, SECTOR</t>
  </si>
  <si>
    <t>Gloria Pintor</t>
  </si>
  <si>
    <t>Career Coach, SECTOR</t>
  </si>
  <si>
    <t>Edna Rivera</t>
  </si>
  <si>
    <t>Training Partnership Manager, SECTOR</t>
  </si>
  <si>
    <t>Jennifer Rojas</t>
  </si>
  <si>
    <t>Adam Hirsch</t>
  </si>
  <si>
    <t>Director Of Business Development</t>
  </si>
  <si>
    <t>Reginald Cooper</t>
  </si>
  <si>
    <t>Sr Operations Manager, Works</t>
  </si>
  <si>
    <t>Sharif Fahim</t>
  </si>
  <si>
    <t>Oscar Moran</t>
  </si>
  <si>
    <t>Sr. Operations Supervisor, Works</t>
  </si>
  <si>
    <t>Nelly Macias Sanchez</t>
  </si>
  <si>
    <t xml:space="preserve"> Senior Operations Manager, Works</t>
  </si>
  <si>
    <t>Ruben Borrero</t>
  </si>
  <si>
    <t>Director of Program Operations</t>
  </si>
  <si>
    <t>Martin Tominaga</t>
  </si>
  <si>
    <t>Internal Operations Coordinator</t>
  </si>
  <si>
    <t>Frederick Elias</t>
  </si>
  <si>
    <t>Brittany Williams</t>
  </si>
  <si>
    <t>Garrison Brosnan</t>
  </si>
  <si>
    <t>Kristina Morgan</t>
  </si>
  <si>
    <t>Jose Lara</t>
  </si>
  <si>
    <t>1,00</t>
  </si>
  <si>
    <t>Daniel Sangronis</t>
  </si>
  <si>
    <t>Jessi Heffington</t>
  </si>
  <si>
    <t>Business Development Coordinator</t>
  </si>
  <si>
    <t>Sr Operations Manager Roads</t>
  </si>
  <si>
    <t>Yelena Litvak</t>
  </si>
  <si>
    <t>Sr Internal Operations Manager</t>
  </si>
  <si>
    <t>Emeline Neau</t>
  </si>
  <si>
    <t>Director of Operations Works</t>
  </si>
  <si>
    <t>Elizabeth Wilson</t>
  </si>
  <si>
    <t>Director of Operations Staffing</t>
  </si>
  <si>
    <t>Emily Van Ostran</t>
  </si>
  <si>
    <t>Sr Operations Manager Staffing</t>
  </si>
  <si>
    <t xml:space="preserve">Alana Edwards </t>
  </si>
  <si>
    <t>Operations Manager Staffing</t>
  </si>
  <si>
    <t>Mal Asia Muhammad</t>
  </si>
  <si>
    <t>Operations Coordinator Staffing</t>
  </si>
  <si>
    <t>Mariah Melgoza</t>
  </si>
  <si>
    <t>Retention Coordinator</t>
  </si>
  <si>
    <t>Faviola Leonard</t>
  </si>
  <si>
    <t>Volunteer &amp; Program Director</t>
  </si>
  <si>
    <t>Lucille Taylor</t>
  </si>
  <si>
    <t>Salesforce Training Coordinator</t>
  </si>
  <si>
    <t>Afton Branche- Wilson</t>
  </si>
  <si>
    <t>Director of Policy &amp; Government Relations</t>
  </si>
  <si>
    <t>Frances Gutierrez</t>
  </si>
  <si>
    <t>Data &amp; Grants Administrator</t>
  </si>
  <si>
    <t>Stephanie Tyson</t>
  </si>
  <si>
    <t>Accounting Manager</t>
  </si>
  <si>
    <t>Jessica Marin</t>
  </si>
  <si>
    <t>Volunteer &amp; Program Manager</t>
  </si>
  <si>
    <t>Tyler Myers</t>
  </si>
  <si>
    <t>Director Of Finance &amp; Controller</t>
  </si>
  <si>
    <t>Marseilles Addison</t>
  </si>
  <si>
    <t>Grants &amp; Contract Manager</t>
  </si>
  <si>
    <t>Christopher Corpus</t>
  </si>
  <si>
    <t>IT Director</t>
  </si>
  <si>
    <t>Vivian Chan</t>
  </si>
  <si>
    <t>Accounts Receivable Specialist</t>
  </si>
  <si>
    <t>Susan Nieves</t>
  </si>
  <si>
    <t>Manager of Data Analytics</t>
  </si>
  <si>
    <t>Xavier Pierce</t>
  </si>
  <si>
    <t>Henry Vuong</t>
  </si>
  <si>
    <t>IT Support Specialist</t>
  </si>
  <si>
    <t>Eric Fong</t>
  </si>
  <si>
    <t>Data &amp; Grants Manager</t>
  </si>
  <si>
    <t>Elizabeth Ford</t>
  </si>
  <si>
    <t>Director of Program Data</t>
  </si>
  <si>
    <t>Wilfredo Abitia</t>
  </si>
  <si>
    <t>Facilities &amp; Maintenance Assistant</t>
  </si>
  <si>
    <t>Saul Gonzalez</t>
  </si>
  <si>
    <t>Facilities &amp; Maintenance Manager</t>
  </si>
  <si>
    <t>Ingrid Guzman</t>
  </si>
  <si>
    <t>Human Resources Coordinator</t>
  </si>
  <si>
    <t>Caramie Brown</t>
  </si>
  <si>
    <t>Human Resources Director</t>
  </si>
  <si>
    <t>Daniel Hirsch</t>
  </si>
  <si>
    <t>Human Resources Generalist</t>
  </si>
  <si>
    <t>Payroll &amp; Compliance Manager</t>
  </si>
  <si>
    <t>Jasmine Vasquez</t>
  </si>
  <si>
    <t>Payroll Coordinator</t>
  </si>
  <si>
    <t>Rebecca Bacon</t>
  </si>
  <si>
    <t>Training Manager</t>
  </si>
  <si>
    <t>Network Manager</t>
  </si>
  <si>
    <t>Wendy Sanchez</t>
  </si>
  <si>
    <t>Program Data Manager</t>
  </si>
  <si>
    <t>Sophie Korchek</t>
  </si>
  <si>
    <t>Manager of Engagement &amp; Internal Communications</t>
  </si>
  <si>
    <t>Mark Cohen</t>
  </si>
  <si>
    <t>Human Resources Director Operations Manager</t>
  </si>
  <si>
    <t>Danika Edwards</t>
  </si>
  <si>
    <t>Kay Brown</t>
  </si>
  <si>
    <t>Jasmine Yarbrough</t>
  </si>
  <si>
    <t>Kharaam Sharifpour</t>
  </si>
  <si>
    <t>Salesforce Database Administrator</t>
  </si>
  <si>
    <t>Jovani Garcia</t>
  </si>
  <si>
    <t>Rasheedah Scott</t>
  </si>
  <si>
    <t>Data and Grants Manager</t>
  </si>
  <si>
    <t>Mallory Loring</t>
  </si>
  <si>
    <t>Director of Donor Engagement and Communications</t>
  </si>
  <si>
    <t>1A.  Staff Salaries TOTAL</t>
  </si>
  <si>
    <t>1B.  Staff Fringe Benefits</t>
  </si>
  <si>
    <t>List each fringe benefit as a percentage of total staff salaries listed above (FICA, SUI, Workers’ Compensation, Medical Insurance, Retirement, etc.).</t>
  </si>
  <si>
    <t>Description</t>
  </si>
  <si>
    <t>OADSI (6.2% up to $7,000 SS + 1.45% Medicare)</t>
  </si>
  <si>
    <t>SUI (6.2% of first $7,000)</t>
  </si>
  <si>
    <t>CA ETT (0.1% of first $7,000)</t>
  </si>
  <si>
    <t>Worker's Compensation (1.43%)</t>
  </si>
  <si>
    <t>Medical Insurance (14%)</t>
  </si>
  <si>
    <t>1B.  Staff Fringe Benefits TOTAL</t>
  </si>
  <si>
    <t>2.  Consultant Services</t>
  </si>
  <si>
    <t>List each consultant to be funded. Include type of service, total budgeted expense, and any additional information to support the use of consultants as opposed to staff or volunteers.</t>
  </si>
  <si>
    <t>Mental Health Services</t>
  </si>
  <si>
    <t>Consulting and Salesforce Database Subscription</t>
  </si>
  <si>
    <t>2.  Consultant Services TOTAL</t>
  </si>
  <si>
    <t>3.  Operating Expenses</t>
  </si>
  <si>
    <t>List all operating expenses [e.g., space/rent expense, utilities, facility maintenance, equipment, insurance, office supplies, printing, audit fees, travel, training, etc.].</t>
  </si>
  <si>
    <t>Repairs &amp; Maintenance</t>
  </si>
  <si>
    <t>Equipment Rental</t>
  </si>
  <si>
    <t>Computer</t>
  </si>
  <si>
    <t>Printing &amp; Publications</t>
  </si>
  <si>
    <t>Postage &amp; Shipping</t>
  </si>
  <si>
    <t>Utilities</t>
  </si>
  <si>
    <t>Telephone</t>
  </si>
  <si>
    <t>Liability Insurance</t>
  </si>
  <si>
    <t>Office Supplies</t>
  </si>
  <si>
    <t>Other Operating</t>
  </si>
  <si>
    <t>Parking</t>
  </si>
  <si>
    <t>3.  Operating Expenses TOTAL</t>
  </si>
  <si>
    <t>4.  Direct Client Support</t>
  </si>
  <si>
    <t>List any expenses associated with direct service provision, individual client support, scholarships, or stipends. Include estimated number of recipients.</t>
  </si>
  <si>
    <t>Client Bus Fare</t>
  </si>
  <si>
    <t>Client Fund</t>
  </si>
  <si>
    <t>Material Needs Fund</t>
  </si>
  <si>
    <t>Driver's License Access Fund</t>
  </si>
  <si>
    <t>Scholarship Fund</t>
  </si>
  <si>
    <t>Client Events &amp; Programs</t>
  </si>
  <si>
    <t>Dues &amp; Sub, Books &amp; Journals</t>
  </si>
  <si>
    <t>4.  Scholarships/Stipends TOTAL</t>
  </si>
  <si>
    <t>5.  Other</t>
  </si>
  <si>
    <t>List any program expense not appropriate for any of the above line items and provide justification.</t>
  </si>
  <si>
    <t>Depreciation &amp; Amortization</t>
  </si>
  <si>
    <t xml:space="preserve">Seminars &amp; Training </t>
  </si>
  <si>
    <t>Recruitment</t>
  </si>
  <si>
    <t>5.  Other TOTAL</t>
  </si>
  <si>
    <t>6.  Indirect Administrative Costs</t>
  </si>
  <si>
    <t>Santa Monica Grant budgets may include Indirect Administrative Costs as follows:</t>
  </si>
  <si>
    <r>
      <t xml:space="preserve">Rates 10% or less of total SM grant:  </t>
    </r>
    <r>
      <rPr>
        <sz val="8"/>
        <rFont val="Arial"/>
        <family val="2"/>
      </rPr>
      <t>Shall be considered de minimis and will be accepted without further supporting documentation</t>
    </r>
  </si>
  <si>
    <t>Rates above 10% of total SM grant:  Must be accompanied by documentation of the agency’s federally-negotiated indirect cost rate.</t>
  </si>
  <si>
    <t>Indirect Administrative Costs</t>
  </si>
  <si>
    <t>Rate:</t>
  </si>
  <si>
    <t>6.  Indirect Administrative Costs TOTAL</t>
  </si>
  <si>
    <t>7.   TOTAL BUDGET</t>
  </si>
  <si>
    <t>By submitting this report to the Human Services Division, agency certifies that this report is true, complete and accurate and that all expenditures are in compliance with the conditions of the Grant Agreement.</t>
  </si>
  <si>
    <t>FY 2023-24 Program Participants and Demographics</t>
  </si>
  <si>
    <t xml:space="preserve">INSTRUCTIONS: </t>
  </si>
  <si>
    <t xml:space="preserve">Populate the grey shaded cells in the tables below with participant demographics. All tables must be completed.   </t>
  </si>
  <si>
    <t>All Mid-Year and Year-End totals must reconcile to Total SMPP reported for the period.</t>
  </si>
  <si>
    <t>PARTICIPANTS RECEIVING CONTRACTED SERVICES</t>
  </si>
  <si>
    <t>Projected Total</t>
  </si>
  <si>
    <t>Mid-Year Actuals</t>
  </si>
  <si>
    <t>Year-End Actuals</t>
  </si>
  <si>
    <t>Total Unduplicated Program Participants</t>
  </si>
  <si>
    <t>Total SMPP</t>
  </si>
  <si>
    <t>Low-Income SMPP</t>
  </si>
  <si>
    <t>Homeless SMPP</t>
  </si>
  <si>
    <t>w/ Disabilities SMPP</t>
  </si>
  <si>
    <t>Served in Military SMPP</t>
  </si>
  <si>
    <t>Primary Language not English SMPP</t>
  </si>
  <si>
    <t>RACE AND ETHNICITY
(Number of SMPP)</t>
  </si>
  <si>
    <t>Latinx/Hispanic</t>
  </si>
  <si>
    <t>Non-Latinx/
Non-Hispanic</t>
  </si>
  <si>
    <t>Prefer Not to Answer/Don't Know</t>
  </si>
  <si>
    <t>American Indian or Alaska Native</t>
  </si>
  <si>
    <t>Asian or Asian American</t>
  </si>
  <si>
    <t>Black or African-American</t>
  </si>
  <si>
    <t>Native Hawaiian or Other Pacific Islander</t>
  </si>
  <si>
    <t>White or Caucasian</t>
  </si>
  <si>
    <t>Multiple Race</t>
  </si>
  <si>
    <t>Race category not listed</t>
  </si>
  <si>
    <t>ZIP CODE
(Number of SMPP)</t>
  </si>
  <si>
    <t>Mid-Year
 Actuals</t>
  </si>
  <si>
    <t>AGE
(Number of SMPP)</t>
  </si>
  <si>
    <t>Mid-Year 
Actuals</t>
  </si>
  <si>
    <t>Year-End 
Actuals</t>
  </si>
  <si>
    <t>Under 5</t>
  </si>
  <si>
    <t>5-12</t>
  </si>
  <si>
    <t>13-17</t>
  </si>
  <si>
    <t>18-24</t>
  </si>
  <si>
    <t>25-34</t>
  </si>
  <si>
    <t>Other/Prefer not to answer</t>
  </si>
  <si>
    <t>35-44</t>
  </si>
  <si>
    <t>45-54</t>
  </si>
  <si>
    <t>55-61</t>
  </si>
  <si>
    <t>62-74</t>
  </si>
  <si>
    <t>75-84</t>
  </si>
  <si>
    <t>85+</t>
  </si>
  <si>
    <r>
      <t>GENDER IDENTITY (Number of SMPP)</t>
    </r>
    <r>
      <rPr>
        <sz val="11"/>
        <color theme="1"/>
        <rFont val="Arial"/>
        <family val="2"/>
      </rPr>
      <t xml:space="preserve">
</t>
    </r>
    <r>
      <rPr>
        <i/>
        <sz val="11"/>
        <color theme="1"/>
        <rFont val="Arial"/>
        <family val="2"/>
      </rPr>
      <t>Please provide the most detailed data available.</t>
    </r>
  </si>
  <si>
    <r>
      <t xml:space="preserve">SEXUAL IDENTITY (Number of SMPP)
</t>
    </r>
    <r>
      <rPr>
        <i/>
        <sz val="11"/>
        <color theme="1"/>
        <rFont val="Arial"/>
        <family val="2"/>
      </rPr>
      <t>Please provide the most detailed data available.</t>
    </r>
  </si>
  <si>
    <t>Male</t>
  </si>
  <si>
    <t>Asexual</t>
  </si>
  <si>
    <t>Female</t>
  </si>
  <si>
    <t>Bisexual or Pansexual</t>
  </si>
  <si>
    <t>Non-Binary</t>
  </si>
  <si>
    <t>Lesbian or Gay</t>
  </si>
  <si>
    <t>Gender Non-Conforming</t>
  </si>
  <si>
    <t>Straight or Heterosexual</t>
  </si>
  <si>
    <t>Intersex</t>
  </si>
  <si>
    <t>Queer</t>
  </si>
  <si>
    <t>Trans Male (Female to Male)</t>
  </si>
  <si>
    <t>Other/Prefer Not to Answer</t>
  </si>
  <si>
    <t>Trans Female (Male to Female)</t>
  </si>
  <si>
    <t>Agency Does Not Collect This Data</t>
  </si>
  <si>
    <t>FY 2023-24 CASH MATCH CALCULATOR</t>
  </si>
  <si>
    <t>NO ACTION NEEDED: This tab will auto-populate based on data entered on other reporting tabs. Once your Year-End Fiscal Report is completed, this tab will display your Year-End Actual Cash Match to SMPP.</t>
  </si>
  <si>
    <t>PROGRAM STATUS REPORT</t>
  </si>
  <si>
    <t>FY 2023-24 Annual Target</t>
  </si>
  <si>
    <t>FY 2023-24
 Year-End Actual</t>
  </si>
  <si>
    <t>Total Program Participants</t>
  </si>
  <si>
    <t>Total Santa Monica Program Participants (SMPP)</t>
  </si>
  <si>
    <t>Level of Service to SMPP (%)</t>
  </si>
  <si>
    <t>FISCAL STATUS REPORT</t>
  </si>
  <si>
    <t>FY 2023-24 Total Program Budget</t>
  </si>
  <si>
    <t>FY 2023-24
SM Grant Budget</t>
  </si>
  <si>
    <t>FY 2023-24
Total Program Expend.</t>
  </si>
  <si>
    <t>FY 2023-24
SM Grant Budget Expend.</t>
  </si>
  <si>
    <t>Program Expenditures</t>
  </si>
  <si>
    <t>CASH MATCH CALCULATOR</t>
  </si>
  <si>
    <t>Based on Program Plan and Budget</t>
  </si>
  <si>
    <t>Based on Actual Data and Expenditures</t>
  </si>
  <si>
    <t>Level of Service to SMPP:</t>
  </si>
  <si>
    <t>SM Grant Funding to SMPP:</t>
  </si>
  <si>
    <t>Agency Cash Match to SMPP:</t>
  </si>
  <si>
    <t>Cash match must be least 30%</t>
  </si>
  <si>
    <t>FY 2023-24 Program Evaluation Chart</t>
  </si>
  <si>
    <r>
      <t xml:space="preserve">Mid-Year Progress to Annual Target (column H): </t>
    </r>
    <r>
      <rPr>
        <sz val="11"/>
        <color rgb="FF000000"/>
        <rFont val="Arial"/>
        <family val="2"/>
      </rPr>
      <t xml:space="preserve">Enter progress to Annual Target at Mid-Year
</t>
    </r>
    <r>
      <rPr>
        <b/>
        <sz val="11"/>
        <color rgb="FF000000"/>
        <rFont val="Arial"/>
        <family val="2"/>
      </rPr>
      <t>Mid-Year Variance Explanation (column I)</t>
    </r>
    <r>
      <rPr>
        <sz val="11"/>
        <color rgb="FF000000"/>
        <rFont val="Arial"/>
        <family val="2"/>
      </rPr>
      <t xml:space="preserve">: Provide a concise explanation for each Indicator not on track to be meet the Annual Target by Year-End. 
</t>
    </r>
    <r>
      <rPr>
        <b/>
        <sz val="11"/>
        <color rgb="FF000000"/>
        <rFont val="Arial"/>
        <family val="2"/>
      </rPr>
      <t xml:space="preserve">Year-End Progress to Annual Target (column J): </t>
    </r>
    <r>
      <rPr>
        <sz val="11"/>
        <color rgb="FF000000"/>
        <rFont val="Arial"/>
        <family val="2"/>
      </rPr>
      <t xml:space="preserve">Enter progress to Annual Target at Year-End
</t>
    </r>
    <r>
      <rPr>
        <b/>
        <sz val="11"/>
        <color rgb="FF000000"/>
        <rFont val="Arial"/>
        <family val="2"/>
      </rPr>
      <t>Year-End Variance Explanation (column K):</t>
    </r>
    <r>
      <rPr>
        <sz val="11"/>
        <color rgb="FF000000"/>
        <rFont val="Arial"/>
        <family val="2"/>
      </rPr>
      <t xml:space="preserve"> Provide a concise explanation for each Indicator above or below 10% of the Annual Target at Year-End.</t>
    </r>
  </si>
  <si>
    <t>Community Impact Area</t>
  </si>
  <si>
    <t>Goal</t>
  </si>
  <si>
    <t>Indicator Type</t>
  </si>
  <si>
    <t>Indicator Description</t>
  </si>
  <si>
    <t>Annual Target</t>
  </si>
  <si>
    <t>Documentation
Method</t>
  </si>
  <si>
    <t>Mid-Year
Progress to 
Annual Target</t>
  </si>
  <si>
    <t>Mid-Year Variance Explanation</t>
  </si>
  <si>
    <t>Year-End
Progress to 
Annual Target</t>
  </si>
  <si>
    <t>Year-End Variance Explanation</t>
  </si>
  <si>
    <t>% to Annual Target 
(Year-End)</t>
  </si>
  <si>
    <t>Primary Indicators</t>
  </si>
  <si>
    <t>Stability</t>
  </si>
  <si>
    <t>Increase economy wellbeing</t>
  </si>
  <si>
    <t>Output</t>
  </si>
  <si>
    <t>Identify and refer SMPP clients to transitional jobs program - Chrysalis Enterprises (CE)</t>
  </si>
  <si>
    <t>30 SMPP</t>
  </si>
  <si>
    <t>Salesforce case management database</t>
  </si>
  <si>
    <t>While we are just under 50% of our target, we are confident we can catch up by year end.</t>
  </si>
  <si>
    <t xml:space="preserve">Chrysalis re-established transition dates in April 2024, meaning clients were not transitioning out of the program on a frequent basis, leaving little room to refer and onboard new clients. However, the clients working in our program are receiving the best on the job training and coaching and we are confident they will transition to outside employment.  </t>
  </si>
  <si>
    <t>Outcome</t>
  </si>
  <si>
    <t>50% of Participants referred will be employed in transitional employment, enhance skills, and earn income</t>
  </si>
  <si>
    <t xml:space="preserve">15 SMPP </t>
  </si>
  <si>
    <t>Salesforce case management database; Payroll records</t>
  </si>
  <si>
    <t>We are well above target for transitional employment placements due to a higher percentage of referrals getting hired into transitional employment.</t>
  </si>
  <si>
    <t xml:space="preserve">Due to having well maintained contracts there was little room to add new clients into the contracts. </t>
  </si>
  <si>
    <t>Increase economic wellbeing</t>
  </si>
  <si>
    <t>Participants receive job readiness and job search skills to obtain employment</t>
  </si>
  <si>
    <t>150 SMPP</t>
  </si>
  <si>
    <t xml:space="preserve">Over the last few years we have seen an overall decline in total number of SMPP clients coming to our center, but we have increased our efforts to identify and track SMPP clients. We saw progress in the last fiscal year, but with staff turnover in late summer and early fall, we saw the impact negatively impact outreach and this outcome. </t>
  </si>
  <si>
    <t xml:space="preserve">We did not meet this goal. Due to staff turnover and the inability to perform routine outreach to manage relationships it hindered our ability to increse this number significantly. We have since filled the Community Engagement Role and are confident their renewed efforts will allow us to meet our goals in the upcoming fiscal year. </t>
  </si>
  <si>
    <t>45% of Participants secure employment</t>
  </si>
  <si>
    <t>68 SMPP</t>
  </si>
  <si>
    <t>Paystubs, offer letters, or Employment Records in database</t>
  </si>
  <si>
    <t>Due to some staff vacancies our employment outcomes are slightly below target. We are increasing in staff numbers and hope to meet our target by the end of the program year.</t>
  </si>
  <si>
    <t>Due to staff vacancies our employment outcomes are below target. We are increasing in staff numbers and hope to meet our target in the next fiscal year.</t>
  </si>
  <si>
    <t>Participants receive employment retention services</t>
  </si>
  <si>
    <t>As employment numbers rise, we will see an increase in # receiving retention services.</t>
  </si>
  <si>
    <t xml:space="preserve">While we did not meet our goal, all clients who obtained employment received retention supportive services. This support led to high numbers of clients retaining that employment at 6 months. </t>
  </si>
  <si>
    <t>50% of Participants are employed 6 months after initial hire</t>
  </si>
  <si>
    <t>34 SMPP</t>
  </si>
  <si>
    <t>As we are at 18 (out of 34) we feel we are very much on track to hit our target.</t>
  </si>
  <si>
    <t xml:space="preserve">Based on methodology, we capture 6 mo retention by contacting all clients who would have reached 6 mo retention during the funding cycle. The we divide confirmed v. total contacted to get our retention rate. This year we contacted 34 clients, with 26 confirming they were still working which gets us a 76% retention rate. While we exceeded the percent rate, we did not meet the annual target of 34 clients reaching retention. Setting the hard target is a challenge as we are unsure how many clients will be reached despite our attempts to contact. </t>
  </si>
  <si>
    <t>Secondary Indicators (Note: secondary indicators are optional. Indicators listed here can be used to further illustrate programs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</si>
</sst>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F800]dddd\,\ mmmm\ dd\,\ yyyy"/>
    <numFmt numFmtId="169" formatCode="0.000%"/>
    <numFmt numFmtId="170" formatCode="0.00_);\(0.00\)"/>
    <numFmt numFmtId="171" formatCode="_(&quot;$&quot;* #,##0.00_);_(&quot;$&quot;* \(#,##0.00\);_(&quot;$&quot;* &quot;-&quot;_);_(@_)"/>
  </numFmts>
  <fonts count="35" x14ac:knownFonts="1">
    <font>
      <sz val="10"/>
      <name val="Arial"/>
    </font>
    <font>
      <sz val="10"/>
      <name val="Arial"/>
      <family val="2"/>
    </font>
    <font>
      <b/>
      <sz val="10"/>
      <name val="Arial"/>
      <family val="2"/>
    </font>
    <font>
      <b/>
      <sz val="11"/>
      <name val="Arial"/>
      <family val="2"/>
    </font>
    <font>
      <sz val="11"/>
      <name val="Arial"/>
      <family val="2"/>
    </font>
    <font>
      <b/>
      <u val="singleAccounting"/>
      <sz val="11"/>
      <name val="Arial"/>
      <family val="2"/>
    </font>
    <font>
      <b/>
      <sz val="8"/>
      <name val="Arial"/>
      <family val="2"/>
    </font>
    <font>
      <b/>
      <u/>
      <sz val="8"/>
      <name val="Arial"/>
      <family val="2"/>
    </font>
    <font>
      <sz val="10"/>
      <color indexed="8"/>
      <name val="MS Sans Serif"/>
    </font>
    <font>
      <b/>
      <i/>
      <sz val="10"/>
      <name val="Arial"/>
      <family val="2"/>
    </font>
    <font>
      <b/>
      <i/>
      <u/>
      <sz val="8"/>
      <name val="Arial"/>
      <family val="2"/>
    </font>
    <font>
      <sz val="8"/>
      <name val="Arial"/>
      <family val="2"/>
    </font>
    <font>
      <b/>
      <sz val="14"/>
      <name val="Arial"/>
      <family val="2"/>
    </font>
    <font>
      <b/>
      <sz val="10"/>
      <color theme="1"/>
      <name val="Arial"/>
      <family val="2"/>
    </font>
    <font>
      <b/>
      <sz val="10"/>
      <color theme="0"/>
      <name val="Arial"/>
      <family val="2"/>
    </font>
    <font>
      <sz val="10"/>
      <color rgb="FFFF0000"/>
      <name val="Arial"/>
      <family val="2"/>
    </font>
    <font>
      <sz val="9"/>
      <name val="Arial"/>
      <family val="2"/>
    </font>
    <font>
      <b/>
      <u val="singleAccounting"/>
      <sz val="10"/>
      <name val="Arial"/>
      <family val="2"/>
    </font>
    <font>
      <b/>
      <sz val="11"/>
      <color theme="1"/>
      <name val="Arial"/>
      <family val="2"/>
    </font>
    <font>
      <sz val="11"/>
      <color theme="1"/>
      <name val="Arial"/>
      <family val="2"/>
    </font>
    <font>
      <b/>
      <sz val="14"/>
      <color rgb="FF00B050"/>
      <name val="Arial"/>
      <family val="2"/>
    </font>
    <font>
      <sz val="10"/>
      <color rgb="FF00B050"/>
      <name val="Arial"/>
      <family val="2"/>
    </font>
    <font>
      <b/>
      <sz val="10"/>
      <color rgb="FF00B050"/>
      <name val="Arial"/>
      <family val="2"/>
    </font>
    <font>
      <b/>
      <sz val="11"/>
      <color theme="0"/>
      <name val="Arial"/>
      <family val="2"/>
    </font>
    <font>
      <sz val="11"/>
      <color rgb="FF000000"/>
      <name val="Arial"/>
      <family val="2"/>
    </font>
    <font>
      <b/>
      <sz val="11"/>
      <color rgb="FF000000"/>
      <name val="Arial"/>
      <family val="2"/>
    </font>
    <font>
      <b/>
      <sz val="10"/>
      <color rgb="FF000000"/>
      <name val="Arial"/>
      <family val="2"/>
    </font>
    <font>
      <sz val="10"/>
      <color rgb="FF000000"/>
      <name val="Arial"/>
      <family val="2"/>
    </font>
    <font>
      <sz val="12"/>
      <name val="Cambria"/>
      <family val="1"/>
    </font>
    <font>
      <sz val="12"/>
      <name val="Arial"/>
      <family val="2"/>
    </font>
    <font>
      <b/>
      <u/>
      <sz val="11"/>
      <name val="Arial"/>
      <family val="2"/>
    </font>
    <font>
      <b/>
      <sz val="9"/>
      <name val="Arial"/>
      <family val="2"/>
    </font>
    <font>
      <i/>
      <sz val="11"/>
      <color theme="1"/>
      <name val="Arial"/>
      <family val="2"/>
    </font>
    <font>
      <b/>
      <sz val="12"/>
      <name val="Arial"/>
      <family val="2"/>
    </font>
    <font>
      <b/>
      <sz val="12"/>
      <color rgb="FF000000"/>
      <name val="Arial"/>
      <family val="2"/>
    </font>
  </fonts>
  <fills count="19">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2EFDA"/>
        <bgColor indexed="64"/>
      </patternFill>
    </fill>
    <fill>
      <patternFill patternType="solid">
        <fgColor rgb="FFEAF1DD"/>
        <bgColor rgb="FFEAF1DD"/>
      </patternFill>
    </fill>
    <fill>
      <patternFill patternType="solid">
        <fgColor theme="0" tint="-0.249977111117893"/>
        <bgColor indexed="64"/>
      </patternFill>
    </fill>
    <fill>
      <patternFill patternType="solid">
        <fgColor rgb="FFD9D9D9"/>
        <bgColor rgb="FF000000"/>
      </patternFill>
    </fill>
  </fills>
  <borders count="7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1"/>
      </left>
      <right/>
      <top style="thin">
        <color indexed="64"/>
      </top>
      <bottom style="medium">
        <color indexed="64"/>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top style="thin">
        <color theme="0" tint="-0.24994659260841701"/>
      </top>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diagonal/>
    </border>
    <border>
      <left/>
      <right style="medium">
        <color indexed="64"/>
      </right>
      <top style="thin">
        <color indexed="64"/>
      </top>
      <bottom style="medium">
        <color indexed="64"/>
      </bottom>
      <diagonal/>
    </border>
    <border>
      <left style="medium">
        <color indexed="64"/>
      </left>
      <right/>
      <top style="medium">
        <color theme="0" tint="-0.14996795556505021"/>
      </top>
      <bottom style="medium">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000000"/>
      </right>
      <top style="thin">
        <color theme="0" tint="-0.24994659260841701"/>
      </top>
      <bottom style="thin">
        <color theme="0" tint="-0.24994659260841701"/>
      </bottom>
      <diagonal/>
    </border>
    <border>
      <left style="medium">
        <color rgb="FF000000"/>
      </left>
      <right style="thin">
        <color theme="0" tint="-0.24994659260841701"/>
      </right>
      <top style="thin">
        <color theme="0" tint="-0.24994659260841701"/>
      </top>
      <bottom style="medium">
        <color rgb="FF000000"/>
      </bottom>
      <diagonal/>
    </border>
    <border>
      <left style="thin">
        <color theme="0" tint="-0.24994659260841701"/>
      </left>
      <right style="thin">
        <color theme="0" tint="-0.24994659260841701"/>
      </right>
      <top style="thin">
        <color theme="0" tint="-0.24994659260841701"/>
      </top>
      <bottom style="medium">
        <color rgb="FF000000"/>
      </bottom>
      <diagonal/>
    </border>
    <border>
      <left/>
      <right/>
      <top/>
      <bottom style="medium">
        <color rgb="FF000000"/>
      </bottom>
      <diagonal/>
    </border>
    <border>
      <left style="thin">
        <color theme="0" tint="-0.24994659260841701"/>
      </left>
      <right style="thin">
        <color theme="0" tint="-0.24994659260841701"/>
      </right>
      <top/>
      <bottom style="medium">
        <color rgb="FF000000"/>
      </bottom>
      <diagonal/>
    </border>
    <border>
      <left style="thin">
        <color theme="0" tint="-0.24994659260841701"/>
      </left>
      <right style="medium">
        <color rgb="FF000000"/>
      </right>
      <top style="thin">
        <color theme="0" tint="-0.24994659260841701"/>
      </top>
      <bottom style="medium">
        <color rgb="FF000000"/>
      </bottom>
      <diagonal/>
    </border>
    <border>
      <left style="thin">
        <color theme="1"/>
      </left>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cellStyleXfs>
  <cellXfs count="397">
    <xf numFmtId="0" fontId="0" fillId="0" borderId="0" xfId="0"/>
    <xf numFmtId="0" fontId="1" fillId="0" borderId="0" xfId="3"/>
    <xf numFmtId="9" fontId="3" fillId="4" borderId="2" xfId="5" applyFont="1" applyFill="1" applyBorder="1" applyAlignment="1" applyProtection="1">
      <alignment horizontal="center"/>
    </xf>
    <xf numFmtId="166" fontId="6" fillId="4" borderId="9" xfId="1" applyNumberFormat="1" applyFont="1" applyFill="1" applyBorder="1" applyAlignment="1" applyProtection="1">
      <alignment horizontal="center"/>
    </xf>
    <xf numFmtId="9" fontId="6" fillId="4" borderId="10" xfId="5" applyFont="1" applyFill="1" applyBorder="1" applyAlignment="1" applyProtection="1">
      <alignment horizontal="center"/>
    </xf>
    <xf numFmtId="166" fontId="6" fillId="4" borderId="7" xfId="1" applyNumberFormat="1" applyFont="1" applyFill="1" applyBorder="1" applyAlignment="1" applyProtection="1">
      <alignment horizontal="center"/>
    </xf>
    <xf numFmtId="9" fontId="6" fillId="4" borderId="0" xfId="5" applyFont="1" applyFill="1" applyBorder="1" applyAlignment="1" applyProtection="1">
      <alignment horizontal="center"/>
    </xf>
    <xf numFmtId="166" fontId="2" fillId="0" borderId="0" xfId="1" applyNumberFormat="1" applyFont="1" applyFill="1" applyProtection="1"/>
    <xf numFmtId="9" fontId="1" fillId="0" borderId="0" xfId="5" applyFont="1" applyFill="1" applyAlignment="1" applyProtection="1">
      <alignment horizontal="center"/>
    </xf>
    <xf numFmtId="9" fontId="1" fillId="0" borderId="5" xfId="5" applyFont="1" applyFill="1" applyBorder="1" applyAlignment="1" applyProtection="1">
      <alignment horizontal="center"/>
    </xf>
    <xf numFmtId="9" fontId="1" fillId="0" borderId="0" xfId="5" applyFont="1" applyFill="1" applyBorder="1" applyAlignment="1" applyProtection="1">
      <alignment horizontal="center"/>
    </xf>
    <xf numFmtId="9" fontId="1" fillId="0" borderId="18" xfId="5" applyFont="1" applyFill="1" applyBorder="1" applyAlignment="1" applyProtection="1">
      <alignment horizontal="center"/>
    </xf>
    <xf numFmtId="9" fontId="1" fillId="0" borderId="19" xfId="5" applyFont="1" applyFill="1" applyBorder="1" applyAlignment="1" applyProtection="1">
      <alignment horizontal="center"/>
    </xf>
    <xf numFmtId="9" fontId="2" fillId="0" borderId="19" xfId="5" applyFont="1" applyFill="1" applyBorder="1" applyAlignment="1" applyProtection="1">
      <alignment horizontal="center"/>
    </xf>
    <xf numFmtId="166" fontId="2" fillId="0" borderId="0" xfId="1" applyNumberFormat="1" applyFont="1" applyFill="1" applyAlignment="1" applyProtection="1">
      <alignment textRotation="90"/>
    </xf>
    <xf numFmtId="9" fontId="2" fillId="0" borderId="0" xfId="5" applyFont="1" applyFill="1" applyAlignment="1" applyProtection="1">
      <alignment horizontal="center" textRotation="90"/>
    </xf>
    <xf numFmtId="0" fontId="13" fillId="0" borderId="0" xfId="3" applyFont="1" applyAlignment="1">
      <alignment horizontal="center"/>
    </xf>
    <xf numFmtId="9" fontId="1" fillId="0" borderId="20" xfId="5" applyFont="1" applyFill="1" applyBorder="1" applyAlignment="1" applyProtection="1">
      <alignment horizontal="center"/>
    </xf>
    <xf numFmtId="9" fontId="7" fillId="0" borderId="0" xfId="5" applyFont="1" applyFill="1" applyBorder="1" applyAlignment="1" applyProtection="1">
      <alignment horizontal="center" wrapText="1"/>
    </xf>
    <xf numFmtId="9" fontId="2" fillId="4" borderId="22" xfId="5" applyFont="1" applyFill="1" applyBorder="1" applyAlignment="1" applyProtection="1">
      <alignment horizontal="center"/>
    </xf>
    <xf numFmtId="164" fontId="11" fillId="4" borderId="0" xfId="2" applyNumberFormat="1" applyFont="1" applyFill="1" applyBorder="1" applyProtection="1"/>
    <xf numFmtId="9" fontId="11" fillId="4" borderId="0" xfId="5" applyFont="1" applyFill="1" applyBorder="1" applyAlignment="1" applyProtection="1">
      <alignment horizontal="center"/>
    </xf>
    <xf numFmtId="44" fontId="11" fillId="4" borderId="7" xfId="2" applyFont="1" applyFill="1" applyBorder="1" applyProtection="1"/>
    <xf numFmtId="0" fontId="12" fillId="0" borderId="0" xfId="3" applyFont="1"/>
    <xf numFmtId="0" fontId="12" fillId="0" borderId="0" xfId="3" applyFont="1" applyAlignment="1">
      <alignment vertical="top"/>
    </xf>
    <xf numFmtId="164" fontId="4" fillId="3" borderId="0" xfId="2" applyNumberFormat="1" applyFont="1" applyFill="1" applyBorder="1" applyAlignment="1" applyProtection="1">
      <alignment horizontal="center"/>
    </xf>
    <xf numFmtId="9" fontId="2" fillId="0" borderId="0" xfId="5" applyFont="1" applyFill="1" applyBorder="1" applyAlignment="1" applyProtection="1">
      <alignment horizontal="center"/>
    </xf>
    <xf numFmtId="168" fontId="4" fillId="0" borderId="4" xfId="3" applyNumberFormat="1" applyFont="1" applyBorder="1" applyAlignment="1">
      <alignment horizontal="center" vertical="center" wrapText="1"/>
    </xf>
    <xf numFmtId="0" fontId="4" fillId="0" borderId="4" xfId="3" applyFont="1" applyBorder="1" applyAlignment="1">
      <alignment horizontal="center" vertical="center" wrapText="1"/>
    </xf>
    <xf numFmtId="0" fontId="4" fillId="0" borderId="13" xfId="3" applyFont="1" applyBorder="1" applyAlignment="1">
      <alignment vertical="center" wrapText="1"/>
    </xf>
    <xf numFmtId="164" fontId="2" fillId="0" borderId="0" xfId="2" applyNumberFormat="1" applyFont="1" applyFill="1" applyBorder="1" applyProtection="1"/>
    <xf numFmtId="0" fontId="16" fillId="0" borderId="0" xfId="3" applyFont="1" applyAlignment="1">
      <alignment horizontal="center"/>
    </xf>
    <xf numFmtId="0" fontId="16" fillId="0" borderId="0" xfId="3" applyFont="1"/>
    <xf numFmtId="167" fontId="16" fillId="0" borderId="0" xfId="3" applyNumberFormat="1" applyFont="1"/>
    <xf numFmtId="41" fontId="5" fillId="5" borderId="11" xfId="3" applyNumberFormat="1" applyFont="1" applyFill="1" applyBorder="1" applyAlignment="1">
      <alignment horizontal="center"/>
    </xf>
    <xf numFmtId="41" fontId="17" fillId="5" borderId="10" xfId="3" applyNumberFormat="1" applyFont="1" applyFill="1" applyBorder="1" applyAlignment="1">
      <alignment horizontal="center" wrapText="1"/>
    </xf>
    <xf numFmtId="0" fontId="1" fillId="5" borderId="9" xfId="3" applyFill="1" applyBorder="1"/>
    <xf numFmtId="0" fontId="4" fillId="7" borderId="8" xfId="3" applyFont="1" applyFill="1" applyBorder="1"/>
    <xf numFmtId="0" fontId="4" fillId="3" borderId="0" xfId="3" applyFont="1" applyFill="1" applyAlignment="1">
      <alignment horizontal="center"/>
    </xf>
    <xf numFmtId="0" fontId="4" fillId="7" borderId="0" xfId="3" applyFont="1" applyFill="1" applyAlignment="1">
      <alignment horizontal="center"/>
    </xf>
    <xf numFmtId="0" fontId="16" fillId="7" borderId="7" xfId="3" applyFont="1" applyFill="1" applyBorder="1"/>
    <xf numFmtId="9" fontId="4" fillId="3" borderId="8" xfId="3" applyNumberFormat="1" applyFont="1" applyFill="1" applyBorder="1"/>
    <xf numFmtId="9" fontId="4" fillId="3" borderId="0" xfId="3" applyNumberFormat="1" applyFont="1" applyFill="1" applyAlignment="1">
      <alignment horizontal="center"/>
    </xf>
    <xf numFmtId="9" fontId="4" fillId="7" borderId="0" xfId="3" applyNumberFormat="1" applyFont="1" applyFill="1" applyAlignment="1">
      <alignment horizontal="center"/>
    </xf>
    <xf numFmtId="41" fontId="5" fillId="5" borderId="8" xfId="3" applyNumberFormat="1" applyFont="1" applyFill="1" applyBorder="1" applyAlignment="1">
      <alignment horizontal="center"/>
    </xf>
    <xf numFmtId="164" fontId="4" fillId="7" borderId="0" xfId="2" applyNumberFormat="1" applyFont="1" applyFill="1" applyBorder="1" applyAlignment="1" applyProtection="1">
      <alignment horizontal="right"/>
    </xf>
    <xf numFmtId="164" fontId="4" fillId="7" borderId="7" xfId="2" applyNumberFormat="1" applyFont="1" applyFill="1" applyBorder="1" applyAlignment="1" applyProtection="1">
      <alignment horizontal="right"/>
    </xf>
    <xf numFmtId="165" fontId="4" fillId="3" borderId="0" xfId="3" applyNumberFormat="1" applyFont="1" applyFill="1" applyAlignment="1">
      <alignment horizontal="center"/>
    </xf>
    <xf numFmtId="164" fontId="4" fillId="7" borderId="0" xfId="2" applyNumberFormat="1" applyFont="1" applyFill="1" applyBorder="1" applyAlignment="1" applyProtection="1">
      <alignment horizontal="center"/>
    </xf>
    <xf numFmtId="165" fontId="4" fillId="3" borderId="7" xfId="3" applyNumberFormat="1" applyFont="1" applyFill="1" applyBorder="1" applyAlignment="1">
      <alignment horizontal="center"/>
    </xf>
    <xf numFmtId="0" fontId="3" fillId="9" borderId="3" xfId="3" applyFont="1" applyFill="1" applyBorder="1"/>
    <xf numFmtId="165" fontId="3" fillId="9" borderId="2" xfId="3" applyNumberFormat="1" applyFont="1" applyFill="1" applyBorder="1" applyAlignment="1">
      <alignment horizontal="center"/>
    </xf>
    <xf numFmtId="165" fontId="3" fillId="9" borderId="1" xfId="3" applyNumberFormat="1" applyFont="1" applyFill="1" applyBorder="1" applyAlignment="1">
      <alignment horizontal="center"/>
    </xf>
    <xf numFmtId="0" fontId="16" fillId="7" borderId="0" xfId="3" applyFont="1" applyFill="1" applyAlignment="1">
      <alignment horizontal="center"/>
    </xf>
    <xf numFmtId="0" fontId="3" fillId="2" borderId="17" xfId="3" applyFont="1" applyFill="1" applyBorder="1" applyAlignment="1">
      <alignment horizontal="center" wrapText="1"/>
    </xf>
    <xf numFmtId="9" fontId="2" fillId="5" borderId="2" xfId="5" applyFont="1" applyFill="1" applyBorder="1" applyAlignment="1" applyProtection="1"/>
    <xf numFmtId="9" fontId="11" fillId="4" borderId="0" xfId="5" applyFont="1" applyFill="1" applyBorder="1" applyProtection="1"/>
    <xf numFmtId="165" fontId="4" fillId="3" borderId="0" xfId="5" applyNumberFormat="1" applyFont="1" applyFill="1" applyBorder="1" applyAlignment="1" applyProtection="1">
      <alignment horizontal="center"/>
    </xf>
    <xf numFmtId="9" fontId="7" fillId="0" borderId="10" xfId="5" applyFont="1" applyFill="1" applyBorder="1" applyAlignment="1" applyProtection="1">
      <alignment horizontal="center" wrapText="1"/>
    </xf>
    <xf numFmtId="166" fontId="7" fillId="0" borderId="9" xfId="1" applyNumberFormat="1" applyFont="1" applyFill="1" applyBorder="1" applyAlignment="1" applyProtection="1">
      <alignment horizontal="center" wrapText="1"/>
    </xf>
    <xf numFmtId="164" fontId="2" fillId="0" borderId="9" xfId="2" applyNumberFormat="1" applyFont="1" applyFill="1" applyBorder="1" applyProtection="1"/>
    <xf numFmtId="164" fontId="2" fillId="0" borderId="7" xfId="2" applyNumberFormat="1" applyFont="1" applyFill="1" applyBorder="1" applyProtection="1"/>
    <xf numFmtId="166" fontId="2" fillId="0" borderId="4" xfId="1" applyNumberFormat="1" applyFont="1" applyFill="1" applyBorder="1" applyProtection="1"/>
    <xf numFmtId="9" fontId="2" fillId="4" borderId="16" xfId="5" applyFont="1" applyFill="1" applyBorder="1" applyAlignment="1" applyProtection="1">
      <alignment horizontal="center"/>
    </xf>
    <xf numFmtId="42" fontId="1" fillId="0" borderId="19" xfId="2" applyNumberFormat="1" applyFont="1" applyFill="1" applyBorder="1" applyProtection="1"/>
    <xf numFmtId="42" fontId="2" fillId="0" borderId="19" xfId="2" applyNumberFormat="1" applyFont="1" applyFill="1" applyBorder="1" applyProtection="1"/>
    <xf numFmtId="42" fontId="1" fillId="0" borderId="21" xfId="2" applyNumberFormat="1" applyFont="1" applyFill="1" applyBorder="1" applyProtection="1"/>
    <xf numFmtId="42" fontId="2" fillId="0" borderId="21" xfId="2" applyNumberFormat="1" applyFont="1" applyFill="1" applyBorder="1" applyProtection="1"/>
    <xf numFmtId="42" fontId="1" fillId="0" borderId="18" xfId="2" applyNumberFormat="1" applyFont="1" applyFill="1" applyBorder="1" applyProtection="1"/>
    <xf numFmtId="42" fontId="2" fillId="4" borderId="22" xfId="2" applyNumberFormat="1" applyFont="1" applyFill="1" applyBorder="1" applyProtection="1"/>
    <xf numFmtId="42" fontId="2" fillId="4" borderId="23" xfId="2" applyNumberFormat="1" applyFont="1" applyFill="1" applyBorder="1" applyProtection="1"/>
    <xf numFmtId="42" fontId="1" fillId="0" borderId="20" xfId="2" applyNumberFormat="1" applyFont="1" applyFill="1" applyBorder="1" applyProtection="1"/>
    <xf numFmtId="42" fontId="2" fillId="4" borderId="16" xfId="2" applyNumberFormat="1" applyFont="1" applyFill="1" applyBorder="1" applyProtection="1"/>
    <xf numFmtId="42" fontId="2" fillId="4" borderId="43" xfId="2" applyNumberFormat="1" applyFont="1" applyFill="1" applyBorder="1" applyProtection="1"/>
    <xf numFmtId="42" fontId="3" fillId="4" borderId="2" xfId="2" applyNumberFormat="1" applyFont="1" applyFill="1" applyBorder="1" applyProtection="1"/>
    <xf numFmtId="42" fontId="3" fillId="4" borderId="1" xfId="2" applyNumberFormat="1" applyFont="1" applyFill="1" applyBorder="1" applyProtection="1"/>
    <xf numFmtId="42" fontId="1" fillId="0" borderId="12" xfId="2" applyNumberFormat="1" applyFont="1" applyFill="1" applyBorder="1" applyProtection="1"/>
    <xf numFmtId="49" fontId="3" fillId="0" borderId="12" xfId="3" applyNumberFormat="1" applyFont="1" applyBorder="1"/>
    <xf numFmtId="0" fontId="16" fillId="0" borderId="12" xfId="3" applyFont="1" applyBorder="1"/>
    <xf numFmtId="49" fontId="3" fillId="0" borderId="15" xfId="3" applyNumberFormat="1" applyFont="1" applyBorder="1"/>
    <xf numFmtId="0" fontId="16" fillId="0" borderId="15" xfId="3" applyFont="1" applyBorder="1"/>
    <xf numFmtId="42" fontId="4" fillId="7" borderId="0" xfId="2" applyNumberFormat="1" applyFont="1" applyFill="1" applyBorder="1" applyAlignment="1" applyProtection="1">
      <alignment horizontal="right"/>
    </xf>
    <xf numFmtId="42" fontId="4" fillId="7" borderId="7" xfId="2" applyNumberFormat="1" applyFont="1" applyFill="1" applyBorder="1" applyAlignment="1" applyProtection="1">
      <alignment horizontal="right"/>
    </xf>
    <xf numFmtId="42" fontId="4" fillId="3" borderId="0" xfId="2" applyNumberFormat="1" applyFont="1" applyFill="1" applyBorder="1" applyAlignment="1" applyProtection="1">
      <alignment horizontal="center"/>
    </xf>
    <xf numFmtId="42" fontId="4" fillId="7" borderId="0" xfId="2" applyNumberFormat="1" applyFont="1" applyFill="1" applyBorder="1" applyAlignment="1" applyProtection="1">
      <alignment horizontal="center"/>
    </xf>
    <xf numFmtId="42" fontId="3" fillId="9" borderId="2" xfId="2" applyNumberFormat="1" applyFont="1" applyFill="1" applyBorder="1" applyAlignment="1" applyProtection="1">
      <alignment horizontal="center"/>
    </xf>
    <xf numFmtId="165" fontId="4" fillId="7" borderId="0" xfId="3" applyNumberFormat="1" applyFont="1" applyFill="1" applyAlignment="1">
      <alignment horizontal="center"/>
    </xf>
    <xf numFmtId="0" fontId="20" fillId="0" borderId="0" xfId="3" applyFont="1"/>
    <xf numFmtId="0" fontId="21" fillId="0" borderId="0" xfId="3" applyFont="1"/>
    <xf numFmtId="0" fontId="22" fillId="0" borderId="0" xfId="3" applyFont="1" applyAlignment="1">
      <alignment horizontal="center"/>
    </xf>
    <xf numFmtId="0" fontId="23" fillId="8" borderId="17" xfId="3" applyFont="1" applyFill="1" applyBorder="1" applyAlignment="1">
      <alignment horizontal="center" vertical="center" wrapText="1"/>
    </xf>
    <xf numFmtId="0" fontId="23" fillId="8" borderId="1" xfId="3" applyFont="1" applyFill="1" applyBorder="1" applyAlignment="1">
      <alignment horizontal="center" vertical="center" wrapText="1"/>
    </xf>
    <xf numFmtId="166" fontId="2" fillId="0" borderId="7" xfId="1" applyNumberFormat="1" applyFont="1" applyFill="1" applyBorder="1" applyProtection="1"/>
    <xf numFmtId="166" fontId="7" fillId="0" borderId="7" xfId="1" applyNumberFormat="1" applyFont="1" applyFill="1" applyBorder="1" applyAlignment="1" applyProtection="1">
      <alignment horizontal="center" wrapText="1"/>
    </xf>
    <xf numFmtId="164" fontId="1" fillId="0" borderId="10" xfId="2" applyNumberFormat="1" applyFont="1" applyFill="1" applyBorder="1" applyProtection="1"/>
    <xf numFmtId="49" fontId="1" fillId="0" borderId="10" xfId="2" applyNumberFormat="1" applyFont="1" applyFill="1" applyBorder="1" applyAlignment="1" applyProtection="1">
      <alignment horizontal="left"/>
    </xf>
    <xf numFmtId="9" fontId="2" fillId="5" borderId="5" xfId="5" applyFont="1" applyFill="1" applyBorder="1" applyAlignment="1" applyProtection="1"/>
    <xf numFmtId="1" fontId="4" fillId="3" borderId="0" xfId="3" applyNumberFormat="1" applyFont="1" applyFill="1" applyAlignment="1">
      <alignment horizontal="center"/>
    </xf>
    <xf numFmtId="0" fontId="13" fillId="0" borderId="32" xfId="3" applyFont="1" applyBorder="1" applyAlignment="1">
      <alignment horizontal="center"/>
    </xf>
    <xf numFmtId="42" fontId="1" fillId="11" borderId="19" xfId="2" applyNumberFormat="1" applyFont="1" applyFill="1" applyBorder="1" applyProtection="1"/>
    <xf numFmtId="42" fontId="1" fillId="11" borderId="20" xfId="2" applyNumberFormat="1" applyFont="1" applyFill="1" applyBorder="1" applyProtection="1"/>
    <xf numFmtId="49" fontId="1" fillId="11" borderId="29" xfId="5" applyNumberFormat="1" applyFont="1" applyFill="1" applyBorder="1" applyAlignment="1" applyProtection="1">
      <alignment horizontal="left" vertical="top" wrapText="1"/>
    </xf>
    <xf numFmtId="49" fontId="1" fillId="11" borderId="39" xfId="5" applyNumberFormat="1" applyFont="1" applyFill="1" applyBorder="1" applyAlignment="1" applyProtection="1">
      <alignment horizontal="left" vertical="top" wrapText="1"/>
    </xf>
    <xf numFmtId="49" fontId="1" fillId="11" borderId="34" xfId="5" applyNumberFormat="1" applyFont="1" applyFill="1" applyBorder="1" applyAlignment="1" applyProtection="1">
      <alignment horizontal="left" vertical="top" wrapText="1"/>
    </xf>
    <xf numFmtId="49" fontId="1" fillId="11" borderId="37" xfId="5" applyNumberFormat="1" applyFont="1" applyFill="1" applyBorder="1" applyAlignment="1" applyProtection="1">
      <alignment horizontal="left" vertical="top" wrapText="1"/>
    </xf>
    <xf numFmtId="49" fontId="1" fillId="11" borderId="41" xfId="5" applyNumberFormat="1" applyFont="1" applyFill="1" applyBorder="1" applyAlignment="1" applyProtection="1">
      <alignment horizontal="left" vertical="top" wrapText="1"/>
    </xf>
    <xf numFmtId="49" fontId="1" fillId="11" borderId="42" xfId="5" applyNumberFormat="1" applyFont="1" applyFill="1" applyBorder="1" applyAlignment="1" applyProtection="1">
      <alignment horizontal="left" vertical="top" wrapText="1"/>
    </xf>
    <xf numFmtId="171" fontId="1" fillId="11" borderId="19" xfId="2" applyNumberFormat="1" applyFont="1" applyFill="1" applyBorder="1" applyProtection="1"/>
    <xf numFmtId="171" fontId="1" fillId="11" borderId="20" xfId="2" applyNumberFormat="1" applyFont="1" applyFill="1" applyBorder="1" applyProtection="1"/>
    <xf numFmtId="171" fontId="1" fillId="0" borderId="12" xfId="2" applyNumberFormat="1" applyFont="1" applyFill="1" applyBorder="1" applyProtection="1"/>
    <xf numFmtId="171" fontId="1" fillId="0" borderId="19" xfId="2" applyNumberFormat="1" applyFont="1" applyFill="1" applyBorder="1" applyProtection="1"/>
    <xf numFmtId="171" fontId="1" fillId="0" borderId="18" xfId="2" applyNumberFormat="1" applyFont="1" applyFill="1" applyBorder="1" applyProtection="1"/>
    <xf numFmtId="0" fontId="12" fillId="0" borderId="0" xfId="3" applyFont="1" applyAlignment="1">
      <alignment horizontal="center"/>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171" fontId="1" fillId="7" borderId="19" xfId="2" applyNumberFormat="1" applyFont="1" applyFill="1" applyBorder="1" applyProtection="1"/>
    <xf numFmtId="171" fontId="1" fillId="6" borderId="19" xfId="2" applyNumberFormat="1" applyFont="1" applyFill="1" applyBorder="1" applyProtection="1"/>
    <xf numFmtId="9" fontId="6" fillId="4" borderId="61" xfId="5" applyFont="1" applyFill="1" applyBorder="1" applyAlignment="1" applyProtection="1">
      <alignment horizontal="center"/>
    </xf>
    <xf numFmtId="166" fontId="6" fillId="4" borderId="62" xfId="1" applyNumberFormat="1" applyFont="1" applyFill="1" applyBorder="1" applyAlignment="1" applyProtection="1">
      <alignment horizontal="center"/>
    </xf>
    <xf numFmtId="166" fontId="6" fillId="4" borderId="64" xfId="1" applyNumberFormat="1" applyFont="1" applyFill="1" applyBorder="1" applyAlignment="1" applyProtection="1">
      <alignment horizontal="center"/>
    </xf>
    <xf numFmtId="166" fontId="7" fillId="0" borderId="64" xfId="1" applyNumberFormat="1" applyFont="1" applyFill="1" applyBorder="1" applyAlignment="1" applyProtection="1">
      <alignment horizontal="center" wrapText="1"/>
    </xf>
    <xf numFmtId="171" fontId="1" fillId="6" borderId="66" xfId="2" applyNumberFormat="1" applyFont="1" applyFill="1" applyBorder="1" applyProtection="1"/>
    <xf numFmtId="42" fontId="1" fillId="11" borderId="68" xfId="2" applyNumberFormat="1" applyFont="1" applyFill="1" applyBorder="1" applyProtection="1"/>
    <xf numFmtId="42" fontId="1" fillId="0" borderId="70" xfId="2" applyNumberFormat="1" applyFont="1" applyFill="1" applyBorder="1" applyProtection="1"/>
    <xf numFmtId="9" fontId="1" fillId="0" borderId="68" xfId="5" applyFont="1" applyFill="1" applyBorder="1" applyAlignment="1" applyProtection="1">
      <alignment horizontal="center"/>
    </xf>
    <xf numFmtId="42" fontId="2" fillId="4" borderId="5" xfId="2" applyNumberFormat="1" applyFont="1" applyFill="1" applyBorder="1" applyProtection="1"/>
    <xf numFmtId="9" fontId="2" fillId="4" borderId="5" xfId="5" applyFont="1" applyFill="1" applyBorder="1" applyAlignment="1" applyProtection="1">
      <alignment horizontal="center"/>
    </xf>
    <xf numFmtId="42" fontId="2" fillId="4" borderId="4" xfId="2" applyNumberFormat="1" applyFont="1" applyFill="1" applyBorder="1" applyProtection="1"/>
    <xf numFmtId="0" fontId="1" fillId="0" borderId="0" xfId="3" applyAlignment="1">
      <alignment horizontal="left" vertical="center" wrapText="1"/>
    </xf>
    <xf numFmtId="0" fontId="2" fillId="0" borderId="0" xfId="3" applyFont="1"/>
    <xf numFmtId="0" fontId="2" fillId="0" borderId="0" xfId="3" applyFont="1" applyAlignment="1">
      <alignment textRotation="90"/>
    </xf>
    <xf numFmtId="0" fontId="3" fillId="5" borderId="3" xfId="3" applyFont="1" applyFill="1" applyBorder="1"/>
    <xf numFmtId="0" fontId="2" fillId="5" borderId="2" xfId="3" applyFont="1" applyFill="1" applyBorder="1"/>
    <xf numFmtId="0" fontId="2" fillId="5" borderId="1" xfId="3" applyFont="1" applyFill="1" applyBorder="1"/>
    <xf numFmtId="0" fontId="1" fillId="0" borderId="8" xfId="3" applyBorder="1" applyAlignment="1">
      <alignment vertical="center"/>
    </xf>
    <xf numFmtId="0" fontId="1" fillId="0" borderId="0" xfId="3" applyAlignment="1">
      <alignment vertical="center"/>
    </xf>
    <xf numFmtId="0" fontId="2" fillId="0" borderId="7" xfId="3" applyFont="1" applyBorder="1"/>
    <xf numFmtId="0" fontId="1" fillId="0" borderId="7" xfId="3" applyBorder="1"/>
    <xf numFmtId="0" fontId="1" fillId="0" borderId="8" xfId="3" applyBorder="1" applyAlignment="1">
      <alignment horizontal="left" vertical="center" wrapText="1"/>
    </xf>
    <xf numFmtId="0" fontId="1" fillId="0" borderId="8" xfId="3" applyBorder="1"/>
    <xf numFmtId="0" fontId="1" fillId="0" borderId="11" xfId="3" applyBorder="1"/>
    <xf numFmtId="0" fontId="1" fillId="0" borderId="10" xfId="3" applyBorder="1"/>
    <xf numFmtId="0" fontId="7" fillId="0" borderId="10" xfId="3" applyFont="1" applyBorder="1" applyAlignment="1">
      <alignment horizontal="center" wrapText="1"/>
    </xf>
    <xf numFmtId="0" fontId="2" fillId="0" borderId="8" xfId="3" applyFont="1" applyBorder="1" applyAlignment="1">
      <alignment horizontal="left"/>
    </xf>
    <xf numFmtId="49" fontId="2" fillId="11" borderId="12" xfId="3" applyNumberFormat="1" applyFont="1" applyFill="1" applyBorder="1"/>
    <xf numFmtId="0" fontId="1" fillId="0" borderId="0" xfId="3" applyAlignment="1">
      <alignment horizontal="left" indent="1"/>
    </xf>
    <xf numFmtId="49" fontId="2" fillId="11" borderId="15" xfId="3" applyNumberFormat="1" applyFont="1" applyFill="1" applyBorder="1"/>
    <xf numFmtId="0" fontId="2" fillId="0" borderId="8" xfId="3" applyFont="1" applyBorder="1"/>
    <xf numFmtId="0" fontId="11" fillId="11" borderId="12" xfId="3" applyFont="1" applyFill="1" applyBorder="1"/>
    <xf numFmtId="171" fontId="1" fillId="6" borderId="12" xfId="2" applyNumberFormat="1" applyFont="1" applyFill="1" applyBorder="1" applyProtection="1"/>
    <xf numFmtId="0" fontId="2" fillId="0" borderId="0" xfId="3" applyFont="1" applyAlignment="1">
      <alignment horizontal="left" indent="1"/>
    </xf>
    <xf numFmtId="6" fontId="34" fillId="0" borderId="0" xfId="0" applyNumberFormat="1" applyFont="1"/>
    <xf numFmtId="0" fontId="1" fillId="0" borderId="6" xfId="3" applyBorder="1"/>
    <xf numFmtId="0" fontId="1" fillId="0" borderId="5" xfId="3" applyBorder="1"/>
    <xf numFmtId="0" fontId="3" fillId="5" borderId="11" xfId="3" applyFont="1" applyFill="1" applyBorder="1"/>
    <xf numFmtId="0" fontId="2" fillId="5" borderId="10" xfId="3" applyFont="1" applyFill="1" applyBorder="1"/>
    <xf numFmtId="0" fontId="2" fillId="5" borderId="9" xfId="3" applyFont="1" applyFill="1" applyBorder="1"/>
    <xf numFmtId="0" fontId="4" fillId="5" borderId="8" xfId="3" applyFont="1" applyFill="1" applyBorder="1"/>
    <xf numFmtId="0" fontId="2" fillId="5" borderId="0" xfId="3" applyFont="1" applyFill="1"/>
    <xf numFmtId="0" fontId="2" fillId="5" borderId="7" xfId="3" applyFont="1" applyFill="1" applyBorder="1"/>
    <xf numFmtId="0" fontId="4" fillId="5" borderId="6" xfId="3" applyFont="1" applyFill="1" applyBorder="1"/>
    <xf numFmtId="0" fontId="2" fillId="5" borderId="5" xfId="3" applyFont="1" applyFill="1" applyBorder="1"/>
    <xf numFmtId="0" fontId="2" fillId="5" borderId="4" xfId="3" applyFont="1" applyFill="1" applyBorder="1"/>
    <xf numFmtId="0" fontId="2" fillId="0" borderId="8" xfId="3" applyFont="1" applyBorder="1" applyAlignment="1">
      <alignment horizontal="left" indent="4"/>
    </xf>
    <xf numFmtId="14" fontId="1" fillId="6" borderId="18" xfId="2" applyNumberFormat="1" applyFont="1" applyFill="1" applyBorder="1" applyProtection="1"/>
    <xf numFmtId="0" fontId="2" fillId="0" borderId="6" xfId="3" applyFont="1" applyBorder="1"/>
    <xf numFmtId="0" fontId="16" fillId="0" borderId="5" xfId="3" applyFont="1" applyBorder="1" applyAlignment="1">
      <alignment horizontal="center"/>
    </xf>
    <xf numFmtId="0" fontId="2" fillId="0" borderId="5" xfId="3" applyFont="1" applyBorder="1"/>
    <xf numFmtId="0" fontId="1" fillId="0" borderId="4" xfId="3" applyBorder="1"/>
    <xf numFmtId="0" fontId="2" fillId="0" borderId="10" xfId="3" applyFont="1" applyBorder="1"/>
    <xf numFmtId="49" fontId="1" fillId="0" borderId="10" xfId="3" applyNumberFormat="1" applyBorder="1" applyAlignment="1">
      <alignment horizontal="left"/>
    </xf>
    <xf numFmtId="49" fontId="1" fillId="0" borderId="0" xfId="3" applyNumberFormat="1" applyAlignment="1">
      <alignment horizontal="left"/>
    </xf>
    <xf numFmtId="49" fontId="1" fillId="0" borderId="5" xfId="3" applyNumberFormat="1" applyBorder="1" applyAlignment="1">
      <alignment horizontal="left"/>
    </xf>
    <xf numFmtId="0" fontId="3" fillId="5" borderId="6" xfId="3" applyFont="1" applyFill="1" applyBorder="1"/>
    <xf numFmtId="0" fontId="2" fillId="4" borderId="60" xfId="3" applyFont="1" applyFill="1" applyBorder="1" applyAlignment="1">
      <alignment wrapText="1"/>
    </xf>
    <xf numFmtId="0" fontId="2" fillId="4" borderId="61" xfId="3" applyFont="1" applyFill="1" applyBorder="1"/>
    <xf numFmtId="0" fontId="1" fillId="4" borderId="61" xfId="3" applyFill="1" applyBorder="1"/>
    <xf numFmtId="0" fontId="6" fillId="4" borderId="61" xfId="3" applyFont="1" applyFill="1" applyBorder="1" applyAlignment="1">
      <alignment horizontal="center"/>
    </xf>
    <xf numFmtId="0" fontId="11" fillId="4" borderId="63" xfId="3" applyFont="1" applyFill="1" applyBorder="1"/>
    <xf numFmtId="0" fontId="6" fillId="4" borderId="0" xfId="3" applyFont="1" applyFill="1"/>
    <xf numFmtId="0" fontId="11" fillId="4" borderId="0" xfId="3" applyFont="1" applyFill="1"/>
    <xf numFmtId="0" fontId="6" fillId="4" borderId="0" xfId="3" applyFont="1" applyFill="1" applyAlignment="1">
      <alignment horizontal="center"/>
    </xf>
    <xf numFmtId="0" fontId="11" fillId="0" borderId="0" xfId="3" applyFont="1"/>
    <xf numFmtId="0" fontId="7" fillId="0" borderId="63" xfId="3" applyFont="1" applyBorder="1" applyAlignment="1">
      <alignment wrapText="1"/>
    </xf>
    <xf numFmtId="0" fontId="7" fillId="0" borderId="0" xfId="3" applyFont="1" applyAlignment="1">
      <alignment wrapText="1"/>
    </xf>
    <xf numFmtId="0" fontId="7" fillId="0" borderId="0" xfId="3" applyFont="1" applyAlignment="1">
      <alignment horizontal="center" wrapText="1"/>
    </xf>
    <xf numFmtId="49" fontId="1" fillId="11" borderId="65" xfId="0" applyNumberFormat="1" applyFont="1" applyFill="1" applyBorder="1" applyAlignment="1">
      <alignment horizontal="left" vertical="top"/>
    </xf>
    <xf numFmtId="49" fontId="1" fillId="11" borderId="19" xfId="0" applyNumberFormat="1" applyFont="1" applyFill="1" applyBorder="1" applyAlignment="1">
      <alignment horizontal="left" vertical="top"/>
    </xf>
    <xf numFmtId="49" fontId="1" fillId="11" borderId="19" xfId="0" applyNumberFormat="1" applyFont="1" applyFill="1" applyBorder="1" applyAlignment="1">
      <alignment horizontal="center" vertical="top" shrinkToFit="1"/>
    </xf>
    <xf numFmtId="170" fontId="1" fillId="11" borderId="19" xfId="0" applyNumberFormat="1" applyFont="1" applyFill="1" applyBorder="1" applyAlignment="1">
      <alignment horizontal="center" vertical="top" shrinkToFit="1"/>
    </xf>
    <xf numFmtId="9" fontId="1" fillId="11" borderId="19" xfId="0" applyNumberFormat="1" applyFont="1" applyFill="1" applyBorder="1" applyAlignment="1">
      <alignment horizontal="center" vertical="top" shrinkToFit="1"/>
    </xf>
    <xf numFmtId="42" fontId="1" fillId="6" borderId="19" xfId="2" applyNumberFormat="1" applyFont="1" applyFill="1" applyBorder="1" applyProtection="1"/>
    <xf numFmtId="171" fontId="1" fillId="0" borderId="19" xfId="3" applyNumberFormat="1" applyBorder="1"/>
    <xf numFmtId="42" fontId="1" fillId="6" borderId="66" xfId="3" applyNumberFormat="1" applyFill="1" applyBorder="1"/>
    <xf numFmtId="49" fontId="1" fillId="11" borderId="20" xfId="0" applyNumberFormat="1" applyFont="1" applyFill="1" applyBorder="1" applyAlignment="1">
      <alignment horizontal="center" vertical="top" shrinkToFit="1"/>
    </xf>
    <xf numFmtId="170" fontId="1" fillId="11" borderId="20" xfId="0" applyNumberFormat="1" applyFont="1" applyFill="1" applyBorder="1" applyAlignment="1">
      <alignment horizontal="center" vertical="top" shrinkToFit="1"/>
    </xf>
    <xf numFmtId="9" fontId="1" fillId="11" borderId="20" xfId="0" applyNumberFormat="1" applyFont="1" applyFill="1" applyBorder="1" applyAlignment="1">
      <alignment horizontal="center" vertical="top" shrinkToFit="1"/>
    </xf>
    <xf numFmtId="171" fontId="1" fillId="11" borderId="18" xfId="2" applyNumberFormat="1" applyFont="1" applyFill="1" applyBorder="1" applyProtection="1"/>
    <xf numFmtId="44" fontId="1" fillId="11" borderId="19" xfId="2" applyFont="1" applyFill="1" applyBorder="1" applyProtection="1"/>
    <xf numFmtId="42" fontId="0" fillId="6" borderId="19" xfId="2" applyNumberFormat="1" applyFont="1" applyFill="1" applyBorder="1" applyProtection="1"/>
    <xf numFmtId="49" fontId="0" fillId="11" borderId="19" xfId="0" applyNumberFormat="1" applyFill="1" applyBorder="1" applyAlignment="1">
      <alignment horizontal="center" vertical="top" shrinkToFit="1"/>
    </xf>
    <xf numFmtId="42" fontId="1" fillId="0" borderId="19" xfId="3" applyNumberFormat="1" applyBorder="1"/>
    <xf numFmtId="49" fontId="1" fillId="11" borderId="67" xfId="0" applyNumberFormat="1" applyFont="1" applyFill="1" applyBorder="1" applyAlignment="1">
      <alignment horizontal="left" vertical="top"/>
    </xf>
    <xf numFmtId="49" fontId="1" fillId="11" borderId="68" xfId="0" applyNumberFormat="1" applyFont="1" applyFill="1" applyBorder="1" applyAlignment="1">
      <alignment horizontal="left" vertical="top"/>
    </xf>
    <xf numFmtId="49" fontId="1" fillId="11" borderId="68" xfId="0" applyNumberFormat="1" applyFont="1" applyFill="1" applyBorder="1" applyAlignment="1">
      <alignment horizontal="center" vertical="top" shrinkToFit="1"/>
    </xf>
    <xf numFmtId="170" fontId="1" fillId="11" borderId="68" xfId="0" applyNumberFormat="1" applyFont="1" applyFill="1" applyBorder="1" applyAlignment="1">
      <alignment horizontal="center" vertical="top" shrinkToFit="1"/>
    </xf>
    <xf numFmtId="9" fontId="1" fillId="11" borderId="68" xfId="0" applyNumberFormat="1" applyFont="1" applyFill="1" applyBorder="1" applyAlignment="1">
      <alignment horizontal="center" vertical="top" shrinkToFit="1"/>
    </xf>
    <xf numFmtId="0" fontId="1" fillId="0" borderId="69" xfId="3" applyBorder="1"/>
    <xf numFmtId="42" fontId="1" fillId="6" borderId="68" xfId="2" applyNumberFormat="1" applyFont="1" applyFill="1" applyBorder="1" applyProtection="1"/>
    <xf numFmtId="42" fontId="1" fillId="0" borderId="68" xfId="3" applyNumberFormat="1" applyBorder="1"/>
    <xf numFmtId="42" fontId="1" fillId="6" borderId="71" xfId="3" applyNumberFormat="1" applyFill="1" applyBorder="1"/>
    <xf numFmtId="0" fontId="2" fillId="4" borderId="72" xfId="3" applyFont="1" applyFill="1" applyBorder="1" applyAlignment="1">
      <alignment horizontal="left"/>
    </xf>
    <xf numFmtId="0" fontId="2" fillId="4" borderId="5" xfId="3" applyFont="1" applyFill="1" applyBorder="1" applyAlignment="1">
      <alignment horizontal="right"/>
    </xf>
    <xf numFmtId="0" fontId="2" fillId="4" borderId="11" xfId="3" applyFont="1" applyFill="1" applyBorder="1"/>
    <xf numFmtId="0" fontId="2" fillId="4" borderId="10" xfId="3" applyFont="1" applyFill="1" applyBorder="1"/>
    <xf numFmtId="0" fontId="1" fillId="4" borderId="10" xfId="3" applyFill="1" applyBorder="1"/>
    <xf numFmtId="0" fontId="6" fillId="4" borderId="10" xfId="3" applyFont="1" applyFill="1" applyBorder="1" applyAlignment="1">
      <alignment horizontal="center"/>
    </xf>
    <xf numFmtId="0" fontId="11" fillId="4" borderId="8" xfId="3" applyFont="1" applyFill="1" applyBorder="1"/>
    <xf numFmtId="0" fontId="10" fillId="0" borderId="8" xfId="3" applyFont="1" applyBorder="1" applyAlignment="1">
      <alignment wrapText="1"/>
    </xf>
    <xf numFmtId="0" fontId="10" fillId="0" borderId="0" xfId="3" applyFont="1" applyAlignment="1">
      <alignment wrapText="1"/>
    </xf>
    <xf numFmtId="0" fontId="10" fillId="0" borderId="0" xfId="3" applyFont="1" applyAlignment="1">
      <alignment horizontal="center" wrapText="1"/>
    </xf>
    <xf numFmtId="49" fontId="1" fillId="11" borderId="54" xfId="0" applyNumberFormat="1" applyFont="1" applyFill="1" applyBorder="1" applyAlignment="1">
      <alignment horizontal="left" vertical="top"/>
    </xf>
    <xf numFmtId="49" fontId="1" fillId="11" borderId="29" xfId="0" applyNumberFormat="1" applyFont="1" applyFill="1" applyBorder="1" applyAlignment="1">
      <alignment horizontal="left" vertical="top" shrinkToFit="1"/>
    </xf>
    <xf numFmtId="49" fontId="1" fillId="11" borderId="29" xfId="3" applyNumberFormat="1" applyFill="1" applyBorder="1" applyAlignment="1">
      <alignment horizontal="left" vertical="top" wrapText="1"/>
    </xf>
    <xf numFmtId="49" fontId="1" fillId="11" borderId="24" xfId="3" applyNumberFormat="1" applyFill="1" applyBorder="1" applyAlignment="1">
      <alignment horizontal="left" vertical="top" wrapText="1"/>
    </xf>
    <xf numFmtId="0" fontId="1" fillId="0" borderId="0" xfId="3" applyAlignment="1">
      <alignment horizontal="left" vertical="top" wrapText="1"/>
    </xf>
    <xf numFmtId="42" fontId="1" fillId="6" borderId="21" xfId="2" applyNumberFormat="1" applyFont="1" applyFill="1" applyBorder="1" applyProtection="1"/>
    <xf numFmtId="49" fontId="1" fillId="11" borderId="54" xfId="3" applyNumberFormat="1" applyFill="1" applyBorder="1" applyAlignment="1">
      <alignment horizontal="left" vertical="top"/>
    </xf>
    <xf numFmtId="171" fontId="1" fillId="6" borderId="18" xfId="2" applyNumberFormat="1" applyFont="1" applyFill="1" applyBorder="1" applyProtection="1"/>
    <xf numFmtId="42" fontId="1" fillId="6" borderId="26" xfId="2" applyNumberFormat="1" applyFont="1" applyFill="1" applyBorder="1" applyProtection="1"/>
    <xf numFmtId="49" fontId="1" fillId="11" borderId="27" xfId="3" applyNumberFormat="1" applyFill="1" applyBorder="1" applyAlignment="1">
      <alignment horizontal="left" vertical="top"/>
    </xf>
    <xf numFmtId="42" fontId="1" fillId="6" borderId="18" xfId="2" applyNumberFormat="1" applyFont="1" applyFill="1" applyBorder="1" applyProtection="1"/>
    <xf numFmtId="49" fontId="1" fillId="11" borderId="27" xfId="3" applyNumberFormat="1" applyFill="1" applyBorder="1" applyAlignment="1">
      <alignment horizontal="left" vertical="top" wrapText="1"/>
    </xf>
    <xf numFmtId="49" fontId="1" fillId="11" borderId="39" xfId="3" applyNumberFormat="1" applyFill="1" applyBorder="1" applyAlignment="1">
      <alignment horizontal="left" vertical="top" wrapText="1"/>
    </xf>
    <xf numFmtId="49" fontId="1" fillId="11" borderId="28" xfId="3" applyNumberFormat="1" applyFill="1" applyBorder="1" applyAlignment="1">
      <alignment horizontal="left" vertical="top" wrapText="1"/>
    </xf>
    <xf numFmtId="0" fontId="2" fillId="4" borderId="36" xfId="3" applyFont="1" applyFill="1" applyBorder="1" applyAlignment="1">
      <alignment horizontal="left"/>
    </xf>
    <xf numFmtId="0" fontId="2" fillId="4" borderId="16" xfId="3" applyFont="1" applyFill="1" applyBorder="1" applyAlignment="1">
      <alignment horizontal="right"/>
    </xf>
    <xf numFmtId="0" fontId="2" fillId="4" borderId="22" xfId="3" applyFont="1" applyFill="1" applyBorder="1" applyAlignment="1">
      <alignment horizontal="center"/>
    </xf>
    <xf numFmtId="49" fontId="1" fillId="11" borderId="45" xfId="0" applyNumberFormat="1" applyFont="1" applyFill="1" applyBorder="1" applyAlignment="1">
      <alignment horizontal="left" vertical="top"/>
    </xf>
    <xf numFmtId="49" fontId="1" fillId="11" borderId="34" xfId="0" applyNumberFormat="1" applyFont="1" applyFill="1" applyBorder="1" applyAlignment="1">
      <alignment horizontal="left" vertical="top" shrinkToFit="1"/>
    </xf>
    <xf numFmtId="49" fontId="1" fillId="11" borderId="34" xfId="3" applyNumberFormat="1" applyFill="1" applyBorder="1" applyAlignment="1">
      <alignment horizontal="left" vertical="top" wrapText="1"/>
    </xf>
    <xf numFmtId="49" fontId="1" fillId="11" borderId="35" xfId="3" applyNumberFormat="1" applyFill="1" applyBorder="1" applyAlignment="1">
      <alignment horizontal="left" vertical="top" wrapText="1"/>
    </xf>
    <xf numFmtId="49" fontId="1" fillId="11" borderId="45" xfId="3" applyNumberFormat="1" applyFill="1" applyBorder="1" applyAlignment="1">
      <alignment horizontal="left" vertical="top"/>
    </xf>
    <xf numFmtId="42" fontId="1" fillId="6" borderId="20" xfId="2" applyNumberFormat="1" applyFont="1" applyFill="1" applyBorder="1" applyProtection="1"/>
    <xf numFmtId="0" fontId="2" fillId="4" borderId="11" xfId="3" applyFont="1" applyFill="1" applyBorder="1" applyAlignment="1">
      <alignment wrapText="1"/>
    </xf>
    <xf numFmtId="49" fontId="1" fillId="11" borderId="55" xfId="0" applyNumberFormat="1" applyFont="1" applyFill="1" applyBorder="1" applyAlignment="1">
      <alignment horizontal="left" vertical="top"/>
    </xf>
    <xf numFmtId="49" fontId="1" fillId="11" borderId="55" xfId="3" applyNumberFormat="1" applyFill="1" applyBorder="1" applyAlignment="1">
      <alignment horizontal="left" vertical="top"/>
    </xf>
    <xf numFmtId="171" fontId="1" fillId="6" borderId="20" xfId="2" applyNumberFormat="1" applyFont="1" applyFill="1" applyBorder="1" applyProtection="1"/>
    <xf numFmtId="49" fontId="1" fillId="11" borderId="37" xfId="3" applyNumberFormat="1" applyFill="1" applyBorder="1" applyAlignment="1">
      <alignment horizontal="left" vertical="top" wrapText="1"/>
    </xf>
    <xf numFmtId="49" fontId="1" fillId="11" borderId="38" xfId="3" applyNumberFormat="1" applyFill="1" applyBorder="1" applyAlignment="1">
      <alignment horizontal="left" vertical="top" wrapText="1"/>
    </xf>
    <xf numFmtId="0" fontId="11" fillId="4" borderId="0" xfId="3" applyFont="1" applyFill="1" applyAlignment="1">
      <alignment wrapText="1"/>
    </xf>
    <xf numFmtId="0" fontId="11" fillId="4" borderId="7" xfId="3" applyFont="1" applyFill="1" applyBorder="1"/>
    <xf numFmtId="0" fontId="6" fillId="4" borderId="8" xfId="3" applyFont="1" applyFill="1" applyBorder="1" applyAlignment="1">
      <alignment horizontal="left" indent="1"/>
    </xf>
    <xf numFmtId="0" fontId="31" fillId="4" borderId="8" xfId="3" applyFont="1" applyFill="1" applyBorder="1" applyAlignment="1">
      <alignment horizontal="left" indent="1"/>
    </xf>
    <xf numFmtId="49" fontId="1" fillId="11" borderId="44" xfId="0" applyNumberFormat="1" applyFont="1" applyFill="1" applyBorder="1" applyAlignment="1">
      <alignment horizontal="left" vertical="top" shrinkToFit="1"/>
    </xf>
    <xf numFmtId="49" fontId="1" fillId="11" borderId="40" xfId="0" applyNumberFormat="1" applyFont="1" applyFill="1" applyBorder="1" applyAlignment="1">
      <alignment horizontal="left" vertical="top" shrinkToFit="1"/>
    </xf>
    <xf numFmtId="0" fontId="15" fillId="0" borderId="0" xfId="3" applyFont="1" applyAlignment="1">
      <alignment horizontal="left" vertical="top" wrapText="1"/>
    </xf>
    <xf numFmtId="169" fontId="15" fillId="0" borderId="0" xfId="3" applyNumberFormat="1" applyFont="1" applyAlignment="1">
      <alignment horizontal="left" vertical="top" wrapText="1"/>
    </xf>
    <xf numFmtId="49" fontId="1" fillId="11" borderId="44" xfId="3" applyNumberFormat="1" applyFill="1" applyBorder="1" applyAlignment="1">
      <alignment horizontal="left" vertical="top" wrapText="1"/>
    </xf>
    <xf numFmtId="42" fontId="1" fillId="6" borderId="25" xfId="2" applyNumberFormat="1" applyFont="1" applyFill="1" applyBorder="1" applyProtection="1"/>
    <xf numFmtId="0" fontId="2" fillId="4" borderId="16" xfId="3" applyFont="1" applyFill="1" applyBorder="1" applyAlignment="1">
      <alignment horizontal="center"/>
    </xf>
    <xf numFmtId="0" fontId="3" fillId="4" borderId="3" xfId="3" applyFont="1" applyFill="1" applyBorder="1" applyAlignment="1">
      <alignment horizontal="right"/>
    </xf>
    <xf numFmtId="0" fontId="3" fillId="4" borderId="2" xfId="3" applyFont="1" applyFill="1" applyBorder="1" applyAlignment="1">
      <alignment horizontal="right"/>
    </xf>
    <xf numFmtId="0" fontId="3" fillId="4" borderId="2" xfId="3" applyFont="1" applyFill="1" applyBorder="1" applyAlignment="1">
      <alignment horizontal="left"/>
    </xf>
    <xf numFmtId="0" fontId="3" fillId="4" borderId="2" xfId="3" applyFont="1" applyFill="1" applyBorder="1" applyAlignment="1">
      <alignment horizontal="center"/>
    </xf>
    <xf numFmtId="0" fontId="12" fillId="0" borderId="0" xfId="3" applyFont="1" applyAlignment="1">
      <alignment horizontal="left" vertical="center"/>
    </xf>
    <xf numFmtId="0" fontId="2" fillId="0" borderId="0" xfId="3" applyFont="1" applyAlignment="1">
      <alignment vertical="center" wrapText="1"/>
    </xf>
    <xf numFmtId="0" fontId="2" fillId="0" borderId="0" xfId="3" applyFont="1" applyAlignment="1">
      <alignment horizontal="left" vertical="center"/>
    </xf>
    <xf numFmtId="0" fontId="2" fillId="0" borderId="0" xfId="3" applyFont="1" applyAlignment="1">
      <alignment horizontal="center" vertical="center" wrapText="1"/>
    </xf>
    <xf numFmtId="0" fontId="1" fillId="0" borderId="0" xfId="3" applyAlignment="1">
      <alignment vertical="center" wrapText="1"/>
    </xf>
    <xf numFmtId="0" fontId="12" fillId="0" borderId="0" xfId="3" applyFont="1" applyAlignment="1">
      <alignment horizontal="left" vertical="center" wrapText="1"/>
    </xf>
    <xf numFmtId="0" fontId="12" fillId="0" borderId="0" xfId="3" applyFont="1" applyAlignment="1">
      <alignment horizontal="center" vertical="center" wrapText="1"/>
    </xf>
    <xf numFmtId="0" fontId="3" fillId="0" borderId="0" xfId="3" applyFont="1" applyAlignment="1">
      <alignment horizontal="left" vertical="center"/>
    </xf>
    <xf numFmtId="0" fontId="4" fillId="0" borderId="0" xfId="3" applyFont="1" applyAlignment="1">
      <alignment vertical="center"/>
    </xf>
    <xf numFmtId="0" fontId="29" fillId="0" borderId="0" xfId="3" applyFont="1" applyAlignment="1">
      <alignment vertical="center" wrapText="1"/>
    </xf>
    <xf numFmtId="0" fontId="29" fillId="0" borderId="0" xfId="3" applyFont="1" applyAlignment="1">
      <alignment vertical="center"/>
    </xf>
    <xf numFmtId="0" fontId="4" fillId="0" borderId="0" xfId="3" applyFont="1" applyAlignment="1">
      <alignment vertical="center" wrapText="1"/>
    </xf>
    <xf numFmtId="0" fontId="18" fillId="4" borderId="14" xfId="3" applyFont="1" applyFill="1" applyBorder="1" applyAlignment="1">
      <alignment horizontal="left" vertical="center" wrapText="1"/>
    </xf>
    <xf numFmtId="0" fontId="18" fillId="4" borderId="14" xfId="3" applyFont="1" applyFill="1" applyBorder="1" applyAlignment="1">
      <alignment horizontal="center" vertical="center" wrapText="1"/>
    </xf>
    <xf numFmtId="0" fontId="4" fillId="0" borderId="14" xfId="0" applyFont="1" applyBorder="1" applyAlignment="1">
      <alignment horizontal="right" vertical="center"/>
    </xf>
    <xf numFmtId="1" fontId="4" fillId="11" borderId="14" xfId="3" applyNumberFormat="1" applyFont="1" applyFill="1" applyBorder="1" applyAlignment="1">
      <alignment horizontal="center" vertical="center" wrapText="1"/>
    </xf>
    <xf numFmtId="1" fontId="4" fillId="6" borderId="14" xfId="3" applyNumberFormat="1" applyFont="1" applyFill="1" applyBorder="1" applyAlignment="1">
      <alignment horizontal="center" vertical="center" wrapText="1"/>
    </xf>
    <xf numFmtId="0" fontId="4" fillId="18" borderId="14" xfId="0" applyFont="1" applyFill="1" applyBorder="1" applyAlignment="1">
      <alignment wrapText="1"/>
    </xf>
    <xf numFmtId="0" fontId="4" fillId="18" borderId="33" xfId="0" applyFont="1" applyFill="1" applyBorder="1" applyAlignment="1">
      <alignment wrapText="1"/>
    </xf>
    <xf numFmtId="0" fontId="4" fillId="0" borderId="0" xfId="3" applyFont="1" applyAlignment="1">
      <alignment horizontal="right" vertical="center"/>
    </xf>
    <xf numFmtId="0" fontId="4" fillId="0" borderId="0" xfId="3" applyFont="1" applyAlignment="1">
      <alignment horizontal="center" vertical="center" wrapText="1"/>
    </xf>
    <xf numFmtId="0" fontId="4" fillId="18" borderId="30" xfId="0" applyFont="1" applyFill="1" applyBorder="1" applyAlignment="1">
      <alignment wrapText="1"/>
    </xf>
    <xf numFmtId="0" fontId="4" fillId="18" borderId="59" xfId="0" applyFont="1" applyFill="1" applyBorder="1" applyAlignment="1">
      <alignment wrapText="1"/>
    </xf>
    <xf numFmtId="0" fontId="3" fillId="0" borderId="14" xfId="0" applyFont="1" applyBorder="1" applyAlignment="1">
      <alignment horizontal="right" vertical="center"/>
    </xf>
    <xf numFmtId="1" fontId="3" fillId="0" borderId="14" xfId="3" applyNumberFormat="1" applyFont="1" applyBorder="1" applyAlignment="1">
      <alignment horizontal="center" vertical="center" wrapText="1"/>
    </xf>
    <xf numFmtId="0" fontId="19" fillId="0" borderId="14" xfId="3" applyFont="1" applyBorder="1" applyAlignment="1">
      <alignment horizontal="right" vertical="center"/>
    </xf>
    <xf numFmtId="1" fontId="19" fillId="6" borderId="14" xfId="3" applyNumberFormat="1" applyFont="1" applyFill="1" applyBorder="1" applyAlignment="1">
      <alignment vertical="center" wrapText="1"/>
    </xf>
    <xf numFmtId="0" fontId="24" fillId="18" borderId="14" xfId="0" applyFont="1" applyFill="1" applyBorder="1" applyAlignment="1">
      <alignment wrapText="1"/>
    </xf>
    <xf numFmtId="0" fontId="19" fillId="0" borderId="14" xfId="3" quotePrefix="1" applyFont="1" applyBorder="1" applyAlignment="1">
      <alignment horizontal="right" vertical="center"/>
    </xf>
    <xf numFmtId="1" fontId="19" fillId="6" borderId="14" xfId="3" quotePrefix="1" applyNumberFormat="1" applyFont="1" applyFill="1" applyBorder="1" applyAlignment="1">
      <alignment vertical="center" wrapText="1"/>
    </xf>
    <xf numFmtId="0" fontId="24" fillId="18" borderId="33" xfId="0" applyFont="1" applyFill="1" applyBorder="1" applyAlignment="1">
      <alignment wrapText="1"/>
    </xf>
    <xf numFmtId="0" fontId="18" fillId="0" borderId="14" xfId="3" applyFont="1" applyBorder="1" applyAlignment="1">
      <alignment horizontal="right" vertical="center"/>
    </xf>
    <xf numFmtId="1" fontId="18" fillId="0" borderId="14" xfId="3" applyNumberFormat="1" applyFont="1" applyBorder="1" applyAlignment="1">
      <alignment horizontal="center" vertical="center" wrapText="1"/>
    </xf>
    <xf numFmtId="0" fontId="18" fillId="14" borderId="31" xfId="3" applyFont="1" applyFill="1" applyBorder="1" applyAlignment="1">
      <alignment horizontal="left" vertical="center" wrapText="1"/>
    </xf>
    <xf numFmtId="0" fontId="18" fillId="14" borderId="14" xfId="3" applyFont="1" applyFill="1" applyBorder="1" applyAlignment="1">
      <alignment horizontal="center" vertical="center" wrapText="1"/>
    </xf>
    <xf numFmtId="1" fontId="19" fillId="6" borderId="14" xfId="1" applyNumberFormat="1" applyFont="1" applyFill="1" applyBorder="1" applyAlignment="1" applyProtection="1">
      <alignment vertical="center" wrapText="1"/>
    </xf>
    <xf numFmtId="43" fontId="19" fillId="6" borderId="14" xfId="1" applyFont="1" applyFill="1" applyBorder="1" applyAlignment="1" applyProtection="1">
      <alignment vertical="center" wrapText="1"/>
    </xf>
    <xf numFmtId="1" fontId="19" fillId="6" borderId="14" xfId="1" quotePrefix="1" applyNumberFormat="1" applyFont="1" applyFill="1" applyBorder="1" applyAlignment="1" applyProtection="1">
      <alignment vertical="center" wrapText="1"/>
    </xf>
    <xf numFmtId="43" fontId="19" fillId="6" borderId="14" xfId="1" quotePrefix="1" applyFont="1" applyFill="1" applyBorder="1" applyAlignment="1" applyProtection="1">
      <alignment vertical="center" wrapText="1"/>
    </xf>
    <xf numFmtId="166" fontId="19" fillId="6" borderId="14" xfId="1" applyNumberFormat="1" applyFont="1" applyFill="1" applyBorder="1" applyAlignment="1" applyProtection="1">
      <alignment vertical="center" wrapText="1"/>
    </xf>
    <xf numFmtId="1" fontId="18" fillId="6" borderId="14" xfId="1" applyNumberFormat="1" applyFont="1" applyFill="1" applyBorder="1" applyAlignment="1" applyProtection="1">
      <alignment vertical="center"/>
    </xf>
    <xf numFmtId="0" fontId="1" fillId="0" borderId="0" xfId="3" applyAlignment="1">
      <alignment horizontal="center" vertical="center"/>
    </xf>
    <xf numFmtId="0" fontId="1" fillId="0" borderId="0" xfId="3" applyAlignment="1">
      <alignment horizontal="center" vertical="center" wrapText="1"/>
    </xf>
    <xf numFmtId="0" fontId="2" fillId="0" borderId="0" xfId="3" applyFont="1" applyAlignment="1">
      <alignment horizontal="center" vertical="center" textRotation="90" wrapText="1"/>
    </xf>
    <xf numFmtId="0" fontId="1" fillId="0" borderId="0" xfId="0" applyFont="1"/>
    <xf numFmtId="0" fontId="33" fillId="5" borderId="3" xfId="3" applyFont="1" applyFill="1" applyBorder="1"/>
    <xf numFmtId="49" fontId="2" fillId="0" borderId="0" xfId="3" applyNumberFormat="1" applyFont="1" applyAlignment="1">
      <alignment horizontal="center"/>
    </xf>
    <xf numFmtId="0" fontId="4" fillId="0" borderId="11" xfId="3" applyFont="1" applyBorder="1" applyAlignment="1">
      <alignment vertical="center"/>
    </xf>
    <xf numFmtId="0" fontId="4" fillId="0" borderId="10" xfId="3" applyFont="1" applyBorder="1" applyAlignment="1">
      <alignment vertical="center" wrapText="1"/>
    </xf>
    <xf numFmtId="0" fontId="4" fillId="0" borderId="9" xfId="3" applyFont="1" applyBorder="1" applyAlignment="1">
      <alignment vertical="center" wrapText="1"/>
    </xf>
    <xf numFmtId="0" fontId="4" fillId="0" borderId="5" xfId="3" applyFont="1" applyBorder="1" applyAlignment="1">
      <alignment vertical="top" wrapText="1"/>
    </xf>
    <xf numFmtId="0" fontId="4" fillId="0" borderId="4" xfId="3" applyFont="1" applyBorder="1" applyAlignment="1">
      <alignment vertical="top" wrapText="1"/>
    </xf>
    <xf numFmtId="0" fontId="4" fillId="0" borderId="0" xfId="3" applyFont="1" applyAlignment="1">
      <alignment horizontal="left" vertical="top" wrapText="1"/>
    </xf>
    <xf numFmtId="0" fontId="26" fillId="5" borderId="14"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46" xfId="0" applyFont="1" applyFill="1" applyBorder="1" applyAlignment="1">
      <alignment horizontal="center" vertical="center" wrapText="1"/>
    </xf>
    <xf numFmtId="0" fontId="26" fillId="5" borderId="47" xfId="0" applyFont="1" applyFill="1" applyBorder="1" applyAlignment="1">
      <alignment horizontal="center" vertical="center" wrapText="1"/>
    </xf>
    <xf numFmtId="0" fontId="26" fillId="5" borderId="52" xfId="0" applyFont="1" applyFill="1" applyBorder="1" applyAlignment="1">
      <alignment horizontal="center" vertical="center" wrapText="1"/>
    </xf>
    <xf numFmtId="0" fontId="28" fillId="0" borderId="0" xfId="0" applyFont="1" applyAlignment="1">
      <alignment horizontal="justify" vertical="center"/>
    </xf>
    <xf numFmtId="0" fontId="9" fillId="12" borderId="14" xfId="0" applyFont="1" applyFill="1" applyBorder="1"/>
    <xf numFmtId="0" fontId="9" fillId="12" borderId="32" xfId="0" applyFont="1" applyFill="1" applyBorder="1"/>
    <xf numFmtId="0" fontId="9" fillId="12" borderId="48" xfId="0" applyFont="1" applyFill="1" applyBorder="1"/>
    <xf numFmtId="0" fontId="9" fillId="12" borderId="49" xfId="0" applyFont="1" applyFill="1" applyBorder="1"/>
    <xf numFmtId="0" fontId="27" fillId="15" borderId="57" xfId="0" applyFont="1" applyFill="1" applyBorder="1" applyAlignment="1">
      <alignment horizontal="center" vertical="center" wrapText="1"/>
    </xf>
    <xf numFmtId="0" fontId="0" fillId="6" borderId="48" xfId="0" applyFill="1" applyBorder="1"/>
    <xf numFmtId="0" fontId="0" fillId="6" borderId="49" xfId="0" applyFill="1" applyBorder="1" applyAlignment="1">
      <alignment wrapText="1"/>
    </xf>
    <xf numFmtId="0" fontId="0" fillId="6" borderId="14" xfId="0" applyFill="1" applyBorder="1" applyAlignment="1">
      <alignment wrapText="1"/>
    </xf>
    <xf numFmtId="9" fontId="0" fillId="11" borderId="49" xfId="0" applyNumberFormat="1" applyFill="1" applyBorder="1"/>
    <xf numFmtId="0" fontId="27" fillId="16" borderId="57" xfId="0" applyFont="1" applyFill="1" applyBorder="1" applyAlignment="1">
      <alignment horizontal="center" vertical="center" wrapText="1"/>
    </xf>
    <xf numFmtId="0" fontId="0" fillId="17" borderId="48" xfId="0" applyFill="1" applyBorder="1"/>
    <xf numFmtId="0" fontId="27" fillId="13" borderId="14" xfId="0" applyFont="1" applyFill="1" applyBorder="1" applyAlignment="1">
      <alignment horizontal="center" vertical="center" wrapText="1"/>
    </xf>
    <xf numFmtId="0" fontId="27" fillId="13" borderId="32" xfId="0" applyFont="1" applyFill="1" applyBorder="1" applyAlignment="1">
      <alignment horizontal="center" vertical="center" wrapText="1"/>
    </xf>
    <xf numFmtId="0" fontId="0" fillId="6" borderId="49" xfId="0" applyFill="1" applyBorder="1"/>
    <xf numFmtId="0" fontId="0" fillId="6" borderId="14" xfId="0" applyFill="1" applyBorder="1"/>
    <xf numFmtId="0" fontId="0" fillId="13" borderId="49" xfId="0" applyFill="1" applyBorder="1"/>
    <xf numFmtId="0" fontId="0" fillId="6" borderId="50" xfId="0" applyFill="1" applyBorder="1"/>
    <xf numFmtId="0" fontId="0" fillId="6" borderId="51" xfId="0" applyFill="1" applyBorder="1"/>
    <xf numFmtId="0" fontId="0" fillId="6" borderId="53" xfId="0" applyFill="1" applyBorder="1"/>
    <xf numFmtId="0" fontId="0" fillId="13" borderId="51" xfId="0" applyFill="1" applyBorder="1"/>
    <xf numFmtId="0" fontId="2" fillId="0" borderId="0" xfId="0" applyFont="1"/>
    <xf numFmtId="0" fontId="1" fillId="0" borderId="0" xfId="0" applyFont="1" applyAlignment="1">
      <alignment wrapText="1"/>
    </xf>
    <xf numFmtId="0" fontId="1" fillId="0" borderId="0" xfId="3" applyAlignment="1">
      <alignment horizontal="left" vertical="center" wrapText="1"/>
    </xf>
    <xf numFmtId="0" fontId="12" fillId="0" borderId="0" xfId="3" applyFont="1" applyAlignment="1">
      <alignment horizontal="center"/>
    </xf>
    <xf numFmtId="0" fontId="14" fillId="10" borderId="0" xfId="3" applyFont="1" applyFill="1" applyAlignment="1">
      <alignment horizontal="left" vertical="center" wrapText="1"/>
    </xf>
    <xf numFmtId="0" fontId="1" fillId="0" borderId="6" xfId="3" applyBorder="1" applyAlignment="1">
      <alignment horizontal="left" vertical="center" wrapText="1"/>
    </xf>
    <xf numFmtId="0" fontId="1" fillId="0" borderId="5" xfId="3" applyBorder="1" applyAlignment="1">
      <alignment horizontal="left" vertical="center" wrapText="1"/>
    </xf>
    <xf numFmtId="0" fontId="1" fillId="0" borderId="4" xfId="3" applyBorder="1" applyAlignment="1">
      <alignment horizontal="left" vertical="center" wrapText="1"/>
    </xf>
    <xf numFmtId="0" fontId="2" fillId="0" borderId="11" xfId="3" applyFont="1" applyBorder="1" applyAlignment="1">
      <alignment horizontal="center" vertical="center"/>
    </xf>
    <xf numFmtId="0" fontId="2" fillId="0" borderId="10" xfId="3" applyFont="1" applyBorder="1" applyAlignment="1">
      <alignment horizontal="center" vertical="center"/>
    </xf>
    <xf numFmtId="0" fontId="2" fillId="0" borderId="9" xfId="3" applyFont="1" applyBorder="1" applyAlignment="1">
      <alignment horizontal="center" vertical="center"/>
    </xf>
    <xf numFmtId="0" fontId="2" fillId="0" borderId="6" xfId="3" applyFont="1" applyBorder="1" applyAlignment="1">
      <alignment horizontal="center" vertical="center"/>
    </xf>
    <xf numFmtId="0" fontId="2" fillId="0" borderId="5" xfId="3" applyFont="1" applyBorder="1" applyAlignment="1">
      <alignment horizontal="center" vertical="center"/>
    </xf>
    <xf numFmtId="0" fontId="2" fillId="0" borderId="4" xfId="3" applyFont="1" applyBorder="1" applyAlignment="1">
      <alignment horizontal="center" vertical="center"/>
    </xf>
    <xf numFmtId="0" fontId="4" fillId="0" borderId="11" xfId="3" applyFont="1" applyBorder="1" applyAlignment="1">
      <alignment horizontal="left" vertical="center" wrapText="1"/>
    </xf>
    <xf numFmtId="0" fontId="4" fillId="0" borderId="10" xfId="3" applyFont="1" applyBorder="1" applyAlignment="1">
      <alignment horizontal="left" vertical="center" wrapText="1"/>
    </xf>
    <xf numFmtId="0" fontId="4" fillId="0" borderId="9" xfId="3" applyFont="1" applyBorder="1" applyAlignment="1">
      <alignment horizontal="left" vertical="center" wrapText="1"/>
    </xf>
    <xf numFmtId="0" fontId="2" fillId="6" borderId="3"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1" xfId="3" applyFont="1" applyFill="1" applyBorder="1" applyAlignment="1">
      <alignment horizontal="lef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1" fillId="0" borderId="8" xfId="3" applyBorder="1" applyAlignment="1">
      <alignment horizontal="left" wrapText="1"/>
    </xf>
    <xf numFmtId="0" fontId="1" fillId="0" borderId="0" xfId="3" applyAlignment="1">
      <alignment horizontal="left" wrapText="1"/>
    </xf>
    <xf numFmtId="0" fontId="1" fillId="0" borderId="7" xfId="3" applyBorder="1" applyAlignment="1">
      <alignment horizontal="left" wrapText="1"/>
    </xf>
    <xf numFmtId="0" fontId="18" fillId="4" borderId="32" xfId="3" applyFont="1" applyFill="1" applyBorder="1" applyAlignment="1">
      <alignment horizontal="center" vertical="center" wrapText="1"/>
    </xf>
    <xf numFmtId="0" fontId="18" fillId="4" borderId="15" xfId="3" applyFont="1" applyFill="1" applyBorder="1" applyAlignment="1">
      <alignment horizontal="center" vertical="center" wrapText="1"/>
    </xf>
    <xf numFmtId="0" fontId="18" fillId="4" borderId="30" xfId="3" applyFont="1" applyFill="1" applyBorder="1" applyAlignment="1">
      <alignment horizontal="center" vertical="center" wrapText="1"/>
    </xf>
    <xf numFmtId="0" fontId="19" fillId="0" borderId="14" xfId="3" quotePrefix="1" applyFont="1" applyBorder="1" applyAlignment="1">
      <alignment horizontal="right" vertical="center"/>
    </xf>
    <xf numFmtId="0" fontId="18" fillId="0" borderId="14" xfId="3" applyFont="1" applyBorder="1" applyAlignment="1">
      <alignment horizontal="right" vertical="center"/>
    </xf>
    <xf numFmtId="0" fontId="19" fillId="0" borderId="14" xfId="3" applyFont="1" applyBorder="1" applyAlignment="1">
      <alignment horizontal="right" vertical="center"/>
    </xf>
    <xf numFmtId="0" fontId="3" fillId="0" borderId="14" xfId="0" applyFont="1" applyBorder="1" applyAlignment="1">
      <alignment horizontal="right" vertical="center"/>
    </xf>
    <xf numFmtId="0" fontId="18" fillId="4" borderId="14" xfId="3" applyFont="1" applyFill="1" applyBorder="1" applyAlignment="1">
      <alignment horizontal="left" vertical="center" wrapText="1"/>
    </xf>
    <xf numFmtId="0" fontId="4" fillId="0" borderId="32" xfId="0" applyFont="1" applyBorder="1" applyAlignment="1">
      <alignment horizontal="right" vertical="center"/>
    </xf>
    <xf numFmtId="0" fontId="4" fillId="0" borderId="30" xfId="0" applyFont="1" applyBorder="1" applyAlignment="1">
      <alignment horizontal="right" vertical="center"/>
    </xf>
    <xf numFmtId="0" fontId="18" fillId="14" borderId="14" xfId="3" applyFont="1" applyFill="1" applyBorder="1" applyAlignment="1">
      <alignment horizontal="left" vertical="center" wrapText="1"/>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29" fillId="0" borderId="32" xfId="3" applyFont="1" applyBorder="1" applyAlignment="1">
      <alignment horizontal="left" wrapText="1"/>
    </xf>
    <xf numFmtId="0" fontId="29" fillId="0" borderId="15" xfId="3" applyFont="1" applyBorder="1" applyAlignment="1">
      <alignment horizontal="left" wrapText="1"/>
    </xf>
    <xf numFmtId="0" fontId="29" fillId="0" borderId="30" xfId="3" applyFont="1" applyBorder="1" applyAlignment="1">
      <alignment horizontal="left" wrapText="1"/>
    </xf>
    <xf numFmtId="0" fontId="27" fillId="0" borderId="14" xfId="0" applyFont="1" applyBorder="1" applyAlignment="1">
      <alignment horizontal="center" vertical="center" wrapText="1"/>
    </xf>
    <xf numFmtId="0" fontId="27" fillId="16" borderId="56" xfId="0" applyFont="1" applyFill="1" applyBorder="1" applyAlignment="1">
      <alignment horizontal="center" vertical="center" wrapText="1"/>
    </xf>
    <xf numFmtId="0" fontId="1" fillId="0" borderId="58" xfId="0" applyFont="1" applyBorder="1"/>
    <xf numFmtId="0" fontId="27" fillId="13" borderId="31" xfId="0" applyFont="1" applyFill="1" applyBorder="1" applyAlignment="1">
      <alignment horizontal="center" wrapText="1"/>
    </xf>
    <xf numFmtId="0" fontId="27" fillId="13" borderId="33" xfId="0" applyFont="1" applyFill="1" applyBorder="1" applyAlignment="1">
      <alignment horizontal="center" wrapText="1"/>
    </xf>
    <xf numFmtId="0" fontId="27" fillId="13" borderId="14" xfId="0"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27" fillId="13" borderId="33" xfId="0" applyFont="1" applyFill="1" applyBorder="1" applyAlignment="1">
      <alignment horizontal="center" vertical="center" wrapText="1"/>
    </xf>
    <xf numFmtId="0" fontId="27" fillId="15" borderId="56" xfId="0" applyFont="1" applyFill="1" applyBorder="1" applyAlignment="1">
      <alignment horizontal="center" vertical="center" wrapText="1"/>
    </xf>
    <xf numFmtId="0" fontId="1" fillId="15" borderId="58" xfId="0" applyFont="1" applyFill="1" applyBorder="1"/>
    <xf numFmtId="0" fontId="25" fillId="0" borderId="6" xfId="3" applyFont="1" applyBorder="1" applyAlignment="1">
      <alignment horizontal="left" vertical="top" wrapText="1" indent="1"/>
    </xf>
    <xf numFmtId="0" fontId="25" fillId="0" borderId="5" xfId="3" applyFont="1" applyBorder="1" applyAlignment="1">
      <alignment horizontal="left" vertical="top" wrapText="1" indent="1"/>
    </xf>
  </cellXfs>
  <cellStyles count="6">
    <cellStyle name="Comma" xfId="1" builtinId="3"/>
    <cellStyle name="Currency" xfId="2" builtinId="4"/>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38</xdr:row>
      <xdr:rowOff>76200</xdr:rowOff>
    </xdr:from>
    <xdr:to>
      <xdr:col>0</xdr:col>
      <xdr:colOff>514350</xdr:colOff>
      <xdr:row>43</xdr:row>
      <xdr:rowOff>95250</xdr:rowOff>
    </xdr:to>
    <xdr:sp macro="" textlink="">
      <xdr:nvSpPr>
        <xdr:cNvPr id="2" name="Check Box 3" hidden="1">
          <a:extLst>
            <a:ext uri="{63B3BB69-23CF-44E3-9099-C40C66FF867C}">
              <a14:compatExt xmlns:a14="http://schemas.microsoft.com/office/drawing/2010/main" spid="_x0000_s31747"/>
            </a:ext>
            <a:ext uri="{FF2B5EF4-FFF2-40B4-BE49-F238E27FC236}">
              <a16:creationId xmlns:a16="http://schemas.microsoft.com/office/drawing/2014/main" id="{2884129F-951E-4FED-BCD0-45BEF016F4DF}"/>
            </a:ext>
          </a:extLst>
        </xdr:cNvPr>
        <xdr:cNvSpPr/>
      </xdr:nvSpPr>
      <xdr:spPr bwMode="auto">
        <a:xfrm>
          <a:off x="228600" y="3257550"/>
          <a:ext cx="28575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3" name="Check Box 4" hidden="1">
          <a:extLst>
            <a:ext uri="{63B3BB69-23CF-44E3-9099-C40C66FF867C}">
              <a14:compatExt xmlns:a14="http://schemas.microsoft.com/office/drawing/2010/main" spid="_x0000_s31748"/>
            </a:ext>
            <a:ext uri="{FF2B5EF4-FFF2-40B4-BE49-F238E27FC236}">
              <a16:creationId xmlns:a16="http://schemas.microsoft.com/office/drawing/2014/main" id="{7D490829-9196-4F00-99F0-29D81272899F}"/>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38</xdr:row>
      <xdr:rowOff>76200</xdr:rowOff>
    </xdr:from>
    <xdr:to>
      <xdr:col>0</xdr:col>
      <xdr:colOff>514350</xdr:colOff>
      <xdr:row>43</xdr:row>
      <xdr:rowOff>104775</xdr:rowOff>
    </xdr:to>
    <xdr:sp macro="" textlink="">
      <xdr:nvSpPr>
        <xdr:cNvPr id="4" name="Check Box 3" hidden="1">
          <a:extLst>
            <a:ext uri="{63B3BB69-23CF-44E3-9099-C40C66FF867C}">
              <a14:compatExt xmlns:a14="http://schemas.microsoft.com/office/drawing/2010/main" spid="_x0000_s31747"/>
            </a:ext>
            <a:ext uri="{FF2B5EF4-FFF2-40B4-BE49-F238E27FC236}">
              <a16:creationId xmlns:a16="http://schemas.microsoft.com/office/drawing/2014/main" id="{E9CF3412-93F8-40B2-A71F-5EAF96FACFA5}"/>
            </a:ext>
          </a:extLst>
        </xdr:cNvPr>
        <xdr:cNvSpPr/>
      </xdr:nvSpPr>
      <xdr:spPr bwMode="auto">
        <a:xfrm>
          <a:off x="228600" y="3257550"/>
          <a:ext cx="2857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90488</xdr:rowOff>
    </xdr:to>
    <xdr:sp macro="" textlink="">
      <xdr:nvSpPr>
        <xdr:cNvPr id="5" name="Check Box 4" hidden="1">
          <a:extLst>
            <a:ext uri="{63B3BB69-23CF-44E3-9099-C40C66FF867C}">
              <a14:compatExt xmlns:a14="http://schemas.microsoft.com/office/drawing/2010/main" spid="_x0000_s31748"/>
            </a:ext>
            <a:ext uri="{FF2B5EF4-FFF2-40B4-BE49-F238E27FC236}">
              <a16:creationId xmlns:a16="http://schemas.microsoft.com/office/drawing/2014/main" id="{35F9AA77-01B1-4744-ABD3-FCAA11F96C64}"/>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A996D7FC-BD26-4E4C-94AB-9C19BDE6F782}"/>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32BA4-E230-43D2-8AE6-26877467B799}">
  <sheetPr>
    <tabColor theme="1" tint="0.499984740745262"/>
    <pageSetUpPr autoPageBreaks="0"/>
  </sheetPr>
  <dimension ref="A1:C13"/>
  <sheetViews>
    <sheetView zoomScaleNormal="100" workbookViewId="0">
      <selection activeCell="A10" sqref="A10:C10"/>
    </sheetView>
  </sheetViews>
  <sheetFormatPr defaultColWidth="9.140625" defaultRowHeight="12.75" x14ac:dyDescent="0.2"/>
  <cols>
    <col min="1" max="2" width="28.140625" style="1" customWidth="1"/>
    <col min="3" max="3" width="32.7109375" style="1" customWidth="1"/>
    <col min="4" max="16384" width="9.140625" style="1"/>
  </cols>
  <sheetData>
    <row r="1" spans="1:3" s="87" customFormat="1" ht="18" x14ac:dyDescent="0.25">
      <c r="A1" s="347" t="s">
        <v>0</v>
      </c>
      <c r="B1" s="347"/>
      <c r="C1" s="347"/>
    </row>
    <row r="2" spans="1:3" s="87" customFormat="1" ht="18" x14ac:dyDescent="0.25">
      <c r="A2" s="112"/>
      <c r="B2" s="112" t="s">
        <v>1</v>
      </c>
      <c r="C2" s="112"/>
    </row>
    <row r="3" spans="1:3" s="88" customFormat="1" ht="18" x14ac:dyDescent="0.25">
      <c r="A3" s="347" t="s">
        <v>2</v>
      </c>
      <c r="B3" s="347"/>
      <c r="C3" s="347"/>
    </row>
    <row r="4" spans="1:3" s="89" customFormat="1" ht="13.5" thickBot="1" x14ac:dyDescent="0.25">
      <c r="A4" s="88"/>
      <c r="B4" s="88"/>
      <c r="C4" s="88"/>
    </row>
    <row r="5" spans="1:3" s="88" customFormat="1" ht="15.75" thickBot="1" x14ac:dyDescent="0.25">
      <c r="A5" s="90" t="s">
        <v>3</v>
      </c>
      <c r="B5" s="91" t="s">
        <v>4</v>
      </c>
      <c r="C5" s="91" t="s">
        <v>5</v>
      </c>
    </row>
    <row r="6" spans="1:3" s="88" customFormat="1" ht="29.25" thickBot="1" x14ac:dyDescent="0.25">
      <c r="A6" s="29" t="s">
        <v>6</v>
      </c>
      <c r="B6" s="28" t="s">
        <v>7</v>
      </c>
      <c r="C6" s="27">
        <v>45327</v>
      </c>
    </row>
    <row r="7" spans="1:3" s="88" customFormat="1" ht="29.25" thickBot="1" x14ac:dyDescent="0.25">
      <c r="A7" s="29" t="s">
        <v>8</v>
      </c>
      <c r="B7" s="28" t="s">
        <v>9</v>
      </c>
      <c r="C7" s="27">
        <v>45509</v>
      </c>
    </row>
    <row r="9" spans="1:3" ht="17.25" customHeight="1" x14ac:dyDescent="0.2">
      <c r="A9" s="348" t="s">
        <v>10</v>
      </c>
      <c r="B9" s="348"/>
      <c r="C9" s="348"/>
    </row>
    <row r="10" spans="1:3" ht="64.5" customHeight="1" x14ac:dyDescent="0.2">
      <c r="A10" s="346" t="s">
        <v>11</v>
      </c>
      <c r="B10" s="346"/>
      <c r="C10" s="346"/>
    </row>
    <row r="11" spans="1:3" ht="45.75" customHeight="1" x14ac:dyDescent="0.2">
      <c r="A11" s="346" t="s">
        <v>12</v>
      </c>
      <c r="B11" s="346"/>
      <c r="C11" s="346"/>
    </row>
    <row r="12" spans="1:3" ht="90" customHeight="1" x14ac:dyDescent="0.2">
      <c r="A12" s="346" t="s">
        <v>13</v>
      </c>
      <c r="B12" s="346"/>
      <c r="C12" s="346"/>
    </row>
    <row r="13" spans="1:3" ht="11.25" customHeight="1" x14ac:dyDescent="0.2">
      <c r="A13" s="346"/>
      <c r="B13" s="346"/>
      <c r="C13" s="346"/>
    </row>
  </sheetData>
  <sheetProtection algorithmName="SHA-512" hashValue="l6qIM8cRHxcvcQOJ7q8J+rzM3Ax2TT2FFE0O4Oi1X1O++pXzNQCIbwkSR6PEfs6P/TYBXY4ehuFIfGqAaZbugw==" saltValue="4vI9+N+93mIVYEFPJQOYPw==" spinCount="100000" sheet="1" objects="1" scenarios="1"/>
  <mergeCells count="7">
    <mergeCell ref="A13:C13"/>
    <mergeCell ref="A12:C12"/>
    <mergeCell ref="A1:C1"/>
    <mergeCell ref="A3:C3"/>
    <mergeCell ref="A9:C9"/>
    <mergeCell ref="A10:C10"/>
    <mergeCell ref="A11:C11"/>
  </mergeCells>
  <printOptions horizontalCentered="1"/>
  <pageMargins left="0.7" right="0.7" top="0.75" bottom="0.75" header="0.3" footer="0.3"/>
  <pageSetup scale="86"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A16E8-D5C4-44A8-8BAA-C048131905BF}">
  <sheetPr>
    <tabColor rgb="FFFFFF00"/>
  </sheetPr>
  <dimension ref="A1:N227"/>
  <sheetViews>
    <sheetView showGridLines="0" tabSelected="1" topLeftCell="A14" zoomScale="80" zoomScaleNormal="80" workbookViewId="0">
      <selection activeCell="A48" sqref="A48"/>
    </sheetView>
  </sheetViews>
  <sheetFormatPr defaultColWidth="8.85546875" defaultRowHeight="12.75" outlineLevelRow="1" x14ac:dyDescent="0.2"/>
  <cols>
    <col min="1" max="1" width="33.140625" style="1" customWidth="1"/>
    <col min="2" max="2" width="33.42578125" style="1" customWidth="1"/>
    <col min="3" max="3" width="30.42578125" style="1" customWidth="1"/>
    <col min="4" max="5" width="12.140625" style="1" customWidth="1"/>
    <col min="6" max="6" width="9.7109375" style="1" customWidth="1"/>
    <col min="7" max="9" width="14.85546875" style="1" customWidth="1"/>
    <col min="10" max="12" width="14.42578125" style="1" customWidth="1"/>
    <col min="13" max="13" width="13.85546875" style="8" bestFit="1" customWidth="1"/>
    <col min="14" max="14" width="17.140625" style="7" customWidth="1"/>
    <col min="15" max="16384" width="8.85546875" style="1"/>
  </cols>
  <sheetData>
    <row r="1" spans="1:14" ht="18" x14ac:dyDescent="0.25">
      <c r="A1" s="23" t="s">
        <v>14</v>
      </c>
      <c r="B1" s="129"/>
      <c r="C1" s="130"/>
      <c r="D1" s="130"/>
      <c r="E1" s="130"/>
      <c r="F1" s="130"/>
      <c r="G1" s="130"/>
      <c r="H1" s="130"/>
      <c r="I1" s="130"/>
      <c r="J1" s="130"/>
      <c r="K1" s="130"/>
      <c r="L1" s="130"/>
      <c r="M1" s="15"/>
      <c r="N1" s="14"/>
    </row>
    <row r="2" spans="1:14" ht="18" x14ac:dyDescent="0.2">
      <c r="A2" s="24" t="s">
        <v>15</v>
      </c>
      <c r="B2" s="129"/>
      <c r="C2" s="130"/>
      <c r="D2" s="130"/>
      <c r="E2" s="130"/>
      <c r="F2" s="130"/>
      <c r="G2" s="130"/>
      <c r="H2" s="130"/>
      <c r="I2" s="130"/>
      <c r="J2" s="130"/>
      <c r="K2" s="130"/>
      <c r="L2" s="130"/>
      <c r="M2" s="15"/>
      <c r="N2" s="14"/>
    </row>
    <row r="3" spans="1:14" x14ac:dyDescent="0.2">
      <c r="A3" s="129"/>
      <c r="B3" s="129"/>
      <c r="C3" s="130"/>
      <c r="D3" s="130"/>
      <c r="E3" s="130"/>
      <c r="F3" s="130"/>
      <c r="G3" s="130"/>
      <c r="H3" s="130"/>
      <c r="I3" s="130"/>
      <c r="J3" s="130"/>
      <c r="K3" s="130"/>
      <c r="L3" s="130"/>
      <c r="M3" s="15"/>
      <c r="N3" s="14"/>
    </row>
    <row r="4" spans="1:14" ht="15" x14ac:dyDescent="0.25">
      <c r="A4" s="131" t="s">
        <v>16</v>
      </c>
      <c r="B4" s="132"/>
      <c r="C4" s="132"/>
      <c r="D4" s="132"/>
      <c r="E4" s="132"/>
      <c r="F4" s="132"/>
      <c r="G4" s="132"/>
      <c r="H4" s="132"/>
      <c r="I4" s="132"/>
      <c r="J4" s="132"/>
      <c r="K4" s="132"/>
      <c r="L4" s="132"/>
      <c r="M4" s="55"/>
      <c r="N4" s="133"/>
    </row>
    <row r="5" spans="1:14" s="129" customFormat="1" ht="28.5" customHeight="1" thickBot="1" x14ac:dyDescent="0.25">
      <c r="A5" s="358" t="s">
        <v>17</v>
      </c>
      <c r="B5" s="359"/>
      <c r="C5" s="359"/>
      <c r="D5" s="359"/>
      <c r="E5" s="359"/>
      <c r="F5" s="359"/>
      <c r="G5" s="359"/>
      <c r="H5" s="359"/>
      <c r="I5" s="359"/>
      <c r="J5" s="359"/>
      <c r="K5" s="359"/>
      <c r="L5" s="359"/>
      <c r="M5" s="359"/>
      <c r="N5" s="360"/>
    </row>
    <row r="6" spans="1:14" ht="16.5" customHeight="1" thickBot="1" x14ac:dyDescent="0.25">
      <c r="A6" s="361" t="s">
        <v>18</v>
      </c>
      <c r="B6" s="362"/>
      <c r="C6" s="362"/>
      <c r="D6" s="362"/>
      <c r="E6" s="362"/>
      <c r="F6" s="362"/>
      <c r="G6" s="362"/>
      <c r="H6" s="362"/>
      <c r="I6" s="362"/>
      <c r="J6" s="362"/>
      <c r="K6" s="362"/>
      <c r="L6" s="362"/>
      <c r="M6" s="362"/>
      <c r="N6" s="363"/>
    </row>
    <row r="7" spans="1:14" s="129" customFormat="1" ht="15" customHeight="1" x14ac:dyDescent="0.2">
      <c r="A7" s="134" t="s">
        <v>19</v>
      </c>
      <c r="B7" s="135"/>
      <c r="C7" s="135"/>
      <c r="N7" s="136"/>
    </row>
    <row r="8" spans="1:14" ht="15" customHeight="1" x14ac:dyDescent="0.2">
      <c r="A8" s="134" t="s">
        <v>20</v>
      </c>
      <c r="B8" s="135"/>
      <c r="C8" s="135"/>
      <c r="M8" s="1"/>
      <c r="N8" s="137"/>
    </row>
    <row r="9" spans="1:14" ht="7.5" customHeight="1" thickBot="1" x14ac:dyDescent="0.25">
      <c r="A9" s="138"/>
      <c r="B9" s="128"/>
      <c r="C9" s="128"/>
      <c r="M9" s="1"/>
      <c r="N9" s="137"/>
    </row>
    <row r="10" spans="1:14" ht="12.75" customHeight="1" thickBot="1" x14ac:dyDescent="0.25">
      <c r="A10" s="361" t="s">
        <v>21</v>
      </c>
      <c r="B10" s="362"/>
      <c r="C10" s="362"/>
      <c r="D10" s="362"/>
      <c r="E10" s="362"/>
      <c r="F10" s="362"/>
      <c r="G10" s="362"/>
      <c r="H10" s="362"/>
      <c r="I10" s="362"/>
      <c r="J10" s="362"/>
      <c r="K10" s="362"/>
      <c r="L10" s="362"/>
      <c r="M10" s="362"/>
      <c r="N10" s="363"/>
    </row>
    <row r="11" spans="1:14" x14ac:dyDescent="0.2">
      <c r="A11" s="366" t="s">
        <v>22</v>
      </c>
      <c r="B11" s="367"/>
      <c r="C11" s="367"/>
      <c r="D11" s="367"/>
      <c r="E11" s="367"/>
      <c r="F11" s="367"/>
      <c r="G11" s="367"/>
      <c r="H11" s="367"/>
      <c r="I11" s="367"/>
      <c r="J11" s="367"/>
      <c r="K11" s="367"/>
      <c r="L11" s="367"/>
      <c r="M11" s="367"/>
      <c r="N11" s="368"/>
    </row>
    <row r="12" spans="1:14" ht="13.5" thickBot="1" x14ac:dyDescent="0.25">
      <c r="A12" s="139" t="s">
        <v>23</v>
      </c>
      <c r="M12" s="1"/>
      <c r="N12" s="137"/>
    </row>
    <row r="13" spans="1:14" ht="12.75" customHeight="1" thickBot="1" x14ac:dyDescent="0.25">
      <c r="A13" s="361" t="s">
        <v>24</v>
      </c>
      <c r="B13" s="362"/>
      <c r="C13" s="362"/>
      <c r="D13" s="362"/>
      <c r="E13" s="362"/>
      <c r="F13" s="362"/>
      <c r="G13" s="362"/>
      <c r="H13" s="362"/>
      <c r="I13" s="362"/>
      <c r="J13" s="362"/>
      <c r="K13" s="362"/>
      <c r="L13" s="362"/>
      <c r="M13" s="362"/>
      <c r="N13" s="363"/>
    </row>
    <row r="14" spans="1:14" s="129" customFormat="1" ht="47.25" customHeight="1" x14ac:dyDescent="0.2">
      <c r="A14" s="364" t="s">
        <v>25</v>
      </c>
      <c r="B14" s="346"/>
      <c r="C14" s="346"/>
      <c r="D14" s="346"/>
      <c r="E14" s="346"/>
      <c r="F14" s="346"/>
      <c r="G14" s="346"/>
      <c r="H14" s="346"/>
      <c r="I14" s="346"/>
      <c r="J14" s="346"/>
      <c r="K14" s="346"/>
      <c r="L14" s="346"/>
      <c r="M14" s="346"/>
      <c r="N14" s="365"/>
    </row>
    <row r="15" spans="1:14" ht="87.75" customHeight="1" thickBot="1" x14ac:dyDescent="0.25">
      <c r="A15" s="349" t="s">
        <v>26</v>
      </c>
      <c r="B15" s="350"/>
      <c r="C15" s="350"/>
      <c r="D15" s="350"/>
      <c r="E15" s="350"/>
      <c r="F15" s="350"/>
      <c r="G15" s="350"/>
      <c r="H15" s="350"/>
      <c r="I15" s="350"/>
      <c r="J15" s="350"/>
      <c r="K15" s="350"/>
      <c r="L15" s="350"/>
      <c r="M15" s="350"/>
      <c r="N15" s="351"/>
    </row>
    <row r="16" spans="1:14" x14ac:dyDescent="0.2">
      <c r="A16" s="129"/>
      <c r="B16" s="129"/>
      <c r="C16" s="130"/>
      <c r="D16" s="130"/>
      <c r="E16" s="130"/>
      <c r="F16" s="130"/>
      <c r="G16" s="130"/>
      <c r="H16" s="130"/>
      <c r="I16" s="130"/>
      <c r="J16" s="130"/>
      <c r="K16" s="130"/>
      <c r="L16" s="130"/>
      <c r="M16" s="15"/>
      <c r="N16" s="14"/>
    </row>
    <row r="17" spans="1:14" ht="15.75" thickBot="1" x14ac:dyDescent="0.3">
      <c r="A17" s="131" t="s">
        <v>27</v>
      </c>
      <c r="B17" s="132"/>
      <c r="C17" s="132"/>
      <c r="D17" s="132"/>
      <c r="E17" s="132"/>
      <c r="F17" s="132"/>
      <c r="G17" s="132"/>
      <c r="H17" s="132"/>
      <c r="I17" s="132"/>
      <c r="J17" s="132"/>
      <c r="K17" s="132"/>
      <c r="L17" s="132"/>
      <c r="M17" s="55"/>
      <c r="N17" s="133"/>
    </row>
    <row r="18" spans="1:14" ht="33.75" x14ac:dyDescent="0.2">
      <c r="A18" s="140"/>
      <c r="B18" s="141"/>
      <c r="C18" s="141"/>
      <c r="D18" s="141"/>
      <c r="E18" s="141"/>
      <c r="F18" s="141"/>
      <c r="G18" s="142" t="s">
        <v>28</v>
      </c>
      <c r="H18" s="142" t="s">
        <v>29</v>
      </c>
      <c r="I18" s="142" t="s">
        <v>30</v>
      </c>
      <c r="J18" s="142" t="s">
        <v>31</v>
      </c>
      <c r="K18" s="142" t="s">
        <v>32</v>
      </c>
      <c r="L18" s="142" t="s">
        <v>33</v>
      </c>
      <c r="M18" s="58" t="s">
        <v>34</v>
      </c>
      <c r="N18" s="59" t="s">
        <v>35</v>
      </c>
    </row>
    <row r="19" spans="1:14" x14ac:dyDescent="0.2">
      <c r="A19" s="143" t="s">
        <v>36</v>
      </c>
      <c r="B19" s="144" t="s">
        <v>37</v>
      </c>
      <c r="C19" s="144"/>
      <c r="D19" s="145" t="str">
        <f>A45</f>
        <v>1A.  Staff Salaries</v>
      </c>
      <c r="G19" s="64">
        <f t="shared" ref="G19:K19" si="0">G150</f>
        <v>1788783.3291999993</v>
      </c>
      <c r="H19" s="64">
        <f t="shared" si="0"/>
        <v>224715.07</v>
      </c>
      <c r="I19" s="64">
        <f t="shared" si="0"/>
        <v>1564068.2591999993</v>
      </c>
      <c r="J19" s="64">
        <f t="shared" si="0"/>
        <v>100576.63</v>
      </c>
      <c r="K19" s="64">
        <f t="shared" si="0"/>
        <v>124138.26</v>
      </c>
      <c r="L19" s="64">
        <f>L150</f>
        <v>224714.89</v>
      </c>
      <c r="M19" s="12">
        <f t="shared" ref="M19:M26" si="1">IFERROR(L19/H19,"N/A")</f>
        <v>0.99999919898563105</v>
      </c>
      <c r="N19" s="66">
        <f>N150</f>
        <v>192007.69999999998</v>
      </c>
    </row>
    <row r="20" spans="1:14" x14ac:dyDescent="0.2">
      <c r="A20" s="143" t="s">
        <v>38</v>
      </c>
      <c r="B20" s="146" t="s">
        <v>39</v>
      </c>
      <c r="C20" s="146"/>
      <c r="D20" s="145" t="str">
        <f>A152</f>
        <v>1B.  Staff Fringe Benefits</v>
      </c>
      <c r="G20" s="64">
        <f t="shared" ref="G20:I20" si="2">G162</f>
        <v>472597.49385273596</v>
      </c>
      <c r="H20" s="64">
        <f t="shared" si="2"/>
        <v>31981.129999999997</v>
      </c>
      <c r="I20" s="64">
        <f t="shared" si="2"/>
        <v>440616.36385273596</v>
      </c>
      <c r="J20" s="64">
        <f>J162</f>
        <v>15837.1</v>
      </c>
      <c r="K20" s="64">
        <f>K162</f>
        <v>16142.38</v>
      </c>
      <c r="L20" s="64">
        <f>L162</f>
        <v>31979.479999999996</v>
      </c>
      <c r="M20" s="12">
        <f t="shared" si="1"/>
        <v>0.99994840707629773</v>
      </c>
      <c r="N20" s="66">
        <f>N162</f>
        <v>472597.49</v>
      </c>
    </row>
    <row r="21" spans="1:14" x14ac:dyDescent="0.2">
      <c r="A21" s="139"/>
      <c r="D21" s="145" t="str">
        <f>A164</f>
        <v>2.  Consultant Services</v>
      </c>
      <c r="G21" s="64">
        <f t="shared" ref="G21:I21" si="3">G171</f>
        <v>62195</v>
      </c>
      <c r="H21" s="64">
        <f t="shared" si="3"/>
        <v>0</v>
      </c>
      <c r="I21" s="64">
        <f t="shared" si="3"/>
        <v>62195</v>
      </c>
      <c r="J21" s="64">
        <f>J171</f>
        <v>0</v>
      </c>
      <c r="K21" s="64">
        <f>K171</f>
        <v>0</v>
      </c>
      <c r="L21" s="64">
        <f>L171</f>
        <v>0</v>
      </c>
      <c r="M21" s="12" t="str">
        <f t="shared" si="1"/>
        <v>N/A</v>
      </c>
      <c r="N21" s="66">
        <f>N171</f>
        <v>62195</v>
      </c>
    </row>
    <row r="22" spans="1:14" x14ac:dyDescent="0.2">
      <c r="A22" s="139"/>
      <c r="D22" s="145" t="str">
        <f>A173</f>
        <v>3.  Operating Expenses</v>
      </c>
      <c r="G22" s="64">
        <f t="shared" ref="G22:L22" si="4">G189</f>
        <v>122844</v>
      </c>
      <c r="H22" s="64">
        <f t="shared" si="4"/>
        <v>2502.31</v>
      </c>
      <c r="I22" s="64">
        <f t="shared" si="4"/>
        <v>120341.69</v>
      </c>
      <c r="J22" s="64">
        <f t="shared" si="4"/>
        <v>1908.96</v>
      </c>
      <c r="K22" s="64">
        <f t="shared" si="4"/>
        <v>593.35</v>
      </c>
      <c r="L22" s="64">
        <f t="shared" si="4"/>
        <v>2502.31</v>
      </c>
      <c r="M22" s="12">
        <f t="shared" si="1"/>
        <v>1</v>
      </c>
      <c r="N22" s="66">
        <f>N189</f>
        <v>122844</v>
      </c>
    </row>
    <row r="23" spans="1:14" x14ac:dyDescent="0.2">
      <c r="A23" s="147" t="s">
        <v>40</v>
      </c>
      <c r="B23" s="148" t="s">
        <v>41</v>
      </c>
      <c r="D23" s="145" t="str">
        <f>A191</f>
        <v>4.  Direct Client Support</v>
      </c>
      <c r="G23" s="64">
        <f>G203</f>
        <v>82000</v>
      </c>
      <c r="H23" s="64">
        <f t="shared" ref="H23:N23" si="5">H203</f>
        <v>3585.1</v>
      </c>
      <c r="I23" s="64">
        <f t="shared" si="5"/>
        <v>78414.899999999994</v>
      </c>
      <c r="J23" s="64">
        <f t="shared" si="5"/>
        <v>1274</v>
      </c>
      <c r="K23" s="64">
        <f t="shared" si="5"/>
        <v>2312</v>
      </c>
      <c r="L23" s="64">
        <f t="shared" si="5"/>
        <v>3586</v>
      </c>
      <c r="M23" s="12">
        <f t="shared" si="1"/>
        <v>1.0002510390226214</v>
      </c>
      <c r="N23" s="66">
        <f t="shared" si="5"/>
        <v>82000</v>
      </c>
    </row>
    <row r="24" spans="1:14" x14ac:dyDescent="0.2">
      <c r="A24" s="139"/>
      <c r="D24" s="145" t="str">
        <f>A205</f>
        <v>5.  Other</v>
      </c>
      <c r="G24" s="64">
        <f>G213</f>
        <v>24830</v>
      </c>
      <c r="H24" s="64">
        <f t="shared" ref="H24:N24" si="6">H213</f>
        <v>0</v>
      </c>
      <c r="I24" s="64">
        <f t="shared" si="6"/>
        <v>24830</v>
      </c>
      <c r="J24" s="64">
        <f t="shared" si="6"/>
        <v>0</v>
      </c>
      <c r="K24" s="64">
        <f t="shared" si="6"/>
        <v>0</v>
      </c>
      <c r="L24" s="64">
        <f t="shared" si="6"/>
        <v>0</v>
      </c>
      <c r="M24" s="12" t="str">
        <f t="shared" si="1"/>
        <v>N/A</v>
      </c>
      <c r="N24" s="66">
        <f t="shared" si="6"/>
        <v>24830</v>
      </c>
    </row>
    <row r="25" spans="1:14" x14ac:dyDescent="0.2">
      <c r="A25" s="139"/>
      <c r="D25" s="145" t="str">
        <f>A215</f>
        <v>6.  Indirect Administrative Costs</v>
      </c>
      <c r="G25" s="64">
        <f>G222</f>
        <v>258027.6694172736</v>
      </c>
      <c r="H25" s="64">
        <f t="shared" ref="H25:L25" si="7">H222</f>
        <v>20000</v>
      </c>
      <c r="I25" s="64">
        <f t="shared" si="7"/>
        <v>238027.6694172736</v>
      </c>
      <c r="J25" s="64">
        <f t="shared" si="7"/>
        <v>9999.9599999999991</v>
      </c>
      <c r="K25" s="64">
        <f t="shared" si="7"/>
        <v>10000.01</v>
      </c>
      <c r="L25" s="64">
        <f t="shared" si="7"/>
        <v>19999.97</v>
      </c>
      <c r="M25" s="12">
        <f t="shared" si="1"/>
        <v>0.99999850000000001</v>
      </c>
      <c r="N25" s="66">
        <f>N222</f>
        <v>258027.67</v>
      </c>
    </row>
    <row r="26" spans="1:14" x14ac:dyDescent="0.2">
      <c r="A26" s="139" t="s">
        <v>42</v>
      </c>
      <c r="B26" s="149">
        <v>282783</v>
      </c>
      <c r="D26" s="150" t="str">
        <f>C224</f>
        <v>7.   TOTAL BUDGET</v>
      </c>
      <c r="E26" s="129"/>
      <c r="F26" s="129"/>
      <c r="G26" s="65">
        <f>G224</f>
        <v>2811277.4924700088</v>
      </c>
      <c r="H26" s="65">
        <f t="shared" ref="H26:L26" si="8">H224</f>
        <v>282783.61</v>
      </c>
      <c r="I26" s="65">
        <f t="shared" si="8"/>
        <v>2528493.8824700089</v>
      </c>
      <c r="J26" s="65">
        <f t="shared" si="8"/>
        <v>129596.65</v>
      </c>
      <c r="K26" s="65">
        <f t="shared" si="8"/>
        <v>153186</v>
      </c>
      <c r="L26" s="65">
        <f t="shared" si="8"/>
        <v>282782.65000000002</v>
      </c>
      <c r="M26" s="13">
        <f t="shared" si="1"/>
        <v>0.99999660517807254</v>
      </c>
      <c r="N26" s="67">
        <f>N224</f>
        <v>1214501.8600000001</v>
      </c>
    </row>
    <row r="27" spans="1:14" x14ac:dyDescent="0.2">
      <c r="A27" s="139" t="s">
        <v>43</v>
      </c>
      <c r="B27" s="109">
        <f>L26</f>
        <v>282782.65000000002</v>
      </c>
      <c r="M27" s="1"/>
      <c r="N27" s="137"/>
    </row>
    <row r="28" spans="1:14" ht="15.75" x14ac:dyDescent="0.25">
      <c r="A28" s="139" t="s">
        <v>44</v>
      </c>
      <c r="B28" s="76">
        <v>0</v>
      </c>
      <c r="H28" s="151"/>
      <c r="M28" s="1"/>
      <c r="N28" s="137"/>
    </row>
    <row r="29" spans="1:14" x14ac:dyDescent="0.2">
      <c r="A29" s="139"/>
      <c r="M29" s="1"/>
      <c r="N29" s="137"/>
    </row>
    <row r="30" spans="1:14" ht="15" customHeight="1" thickBot="1" x14ac:dyDescent="0.25">
      <c r="A30" s="152"/>
      <c r="B30" s="153"/>
      <c r="C30" s="153"/>
      <c r="D30" s="153"/>
      <c r="E30" s="153"/>
      <c r="F30" s="153"/>
      <c r="G30" s="153"/>
      <c r="H30" s="153"/>
      <c r="I30" s="153"/>
      <c r="J30" s="153"/>
      <c r="K30" s="153"/>
      <c r="L30" s="153"/>
      <c r="M30" s="9"/>
      <c r="N30" s="62"/>
    </row>
    <row r="31" spans="1:14" ht="15" x14ac:dyDescent="0.25">
      <c r="A31" s="154" t="s">
        <v>45</v>
      </c>
      <c r="B31" s="155"/>
      <c r="C31" s="155"/>
      <c r="D31" s="155"/>
      <c r="E31" s="155"/>
      <c r="F31" s="155"/>
      <c r="G31" s="155"/>
      <c r="H31" s="155"/>
      <c r="I31" s="155"/>
      <c r="J31" s="155"/>
      <c r="K31" s="155"/>
      <c r="L31" s="155"/>
      <c r="M31" s="155"/>
      <c r="N31" s="156"/>
    </row>
    <row r="32" spans="1:14" ht="14.25" x14ac:dyDescent="0.2">
      <c r="A32" s="157" t="s">
        <v>46</v>
      </c>
      <c r="B32" s="158"/>
      <c r="C32" s="158"/>
      <c r="D32" s="158"/>
      <c r="E32" s="158"/>
      <c r="F32" s="158"/>
      <c r="G32" s="158"/>
      <c r="H32" s="158"/>
      <c r="I32" s="158"/>
      <c r="J32" s="158"/>
      <c r="K32" s="158"/>
      <c r="L32" s="158"/>
      <c r="M32" s="158"/>
      <c r="N32" s="159"/>
    </row>
    <row r="33" spans="1:14" ht="15" thickBot="1" x14ac:dyDescent="0.25">
      <c r="A33" s="160" t="s">
        <v>47</v>
      </c>
      <c r="B33" s="161"/>
      <c r="C33" s="161"/>
      <c r="D33" s="161"/>
      <c r="E33" s="161"/>
      <c r="F33" s="161"/>
      <c r="G33" s="161"/>
      <c r="H33" s="161"/>
      <c r="I33" s="161"/>
      <c r="J33" s="161"/>
      <c r="K33" s="161"/>
      <c r="L33" s="161"/>
      <c r="M33" s="161"/>
      <c r="N33" s="162"/>
    </row>
    <row r="34" spans="1:14" x14ac:dyDescent="0.2">
      <c r="A34" s="139"/>
      <c r="M34" s="10"/>
      <c r="N34" s="92"/>
    </row>
    <row r="35" spans="1:14" x14ac:dyDescent="0.2">
      <c r="A35" s="163" t="s">
        <v>48</v>
      </c>
      <c r="D35" s="129" t="s">
        <v>49</v>
      </c>
      <c r="F35" s="31"/>
      <c r="G35" s="164">
        <v>45380</v>
      </c>
      <c r="M35" s="10"/>
      <c r="N35" s="92"/>
    </row>
    <row r="36" spans="1:14" x14ac:dyDescent="0.2">
      <c r="A36" s="163" t="s">
        <v>50</v>
      </c>
      <c r="D36" s="129" t="s">
        <v>49</v>
      </c>
      <c r="F36" s="31"/>
      <c r="G36" s="164">
        <v>45511</v>
      </c>
      <c r="M36" s="10"/>
      <c r="N36" s="92"/>
    </row>
    <row r="37" spans="1:14" ht="13.5" thickBot="1" x14ac:dyDescent="0.25">
      <c r="A37" s="165"/>
      <c r="B37" s="153"/>
      <c r="C37" s="153"/>
      <c r="D37" s="153"/>
      <c r="E37" s="153"/>
      <c r="F37" s="166"/>
      <c r="G37" s="153"/>
      <c r="H37" s="153"/>
      <c r="I37" s="153"/>
      <c r="J37" s="153"/>
      <c r="K37" s="153"/>
      <c r="L37" s="153"/>
      <c r="M37" s="9"/>
      <c r="N37" s="62"/>
    </row>
    <row r="38" spans="1:14" ht="13.5" thickBot="1" x14ac:dyDescent="0.25">
      <c r="A38" s="165"/>
      <c r="B38" s="167"/>
      <c r="C38" s="153"/>
      <c r="D38" s="167"/>
      <c r="E38" s="167"/>
      <c r="F38" s="167"/>
      <c r="G38" s="153"/>
      <c r="H38" s="153"/>
      <c r="I38" s="153"/>
      <c r="J38" s="153"/>
      <c r="K38" s="153"/>
      <c r="L38" s="153"/>
      <c r="M38" s="153"/>
      <c r="N38" s="168"/>
    </row>
    <row r="39" spans="1:14" ht="13.5" hidden="1" thickBot="1" x14ac:dyDescent="0.25">
      <c r="A39" s="129"/>
      <c r="D39" s="129"/>
      <c r="E39" s="129"/>
      <c r="F39" s="129"/>
      <c r="G39" s="30"/>
      <c r="H39" s="30"/>
      <c r="I39" s="30"/>
      <c r="J39" s="30"/>
      <c r="K39" s="30"/>
      <c r="L39" s="30"/>
      <c r="M39" s="26"/>
      <c r="N39" s="30"/>
    </row>
    <row r="40" spans="1:14" hidden="1" x14ac:dyDescent="0.2">
      <c r="A40" s="140" t="s">
        <v>51</v>
      </c>
      <c r="B40" s="141"/>
      <c r="C40" s="141" t="s">
        <v>52</v>
      </c>
      <c r="D40" s="169"/>
      <c r="E40" s="169"/>
      <c r="F40" s="170"/>
      <c r="G40" s="170"/>
      <c r="H40" s="170"/>
      <c r="I40" s="95"/>
      <c r="J40" s="95"/>
      <c r="K40" s="94"/>
      <c r="L40" s="95"/>
      <c r="M40" s="95"/>
      <c r="N40" s="60"/>
    </row>
    <row r="41" spans="1:14" hidden="1" x14ac:dyDescent="0.2">
      <c r="A41" s="139" t="s">
        <v>53</v>
      </c>
      <c r="C41" s="1" t="s">
        <v>54</v>
      </c>
      <c r="D41" s="129"/>
      <c r="E41" s="129"/>
      <c r="H41" s="171"/>
      <c r="J41" s="30"/>
      <c r="K41" s="30"/>
      <c r="L41" s="30"/>
      <c r="M41" s="26"/>
      <c r="N41" s="61"/>
    </row>
    <row r="42" spans="1:14" ht="13.5" hidden="1" thickBot="1" x14ac:dyDescent="0.25">
      <c r="A42" s="152" t="s">
        <v>41</v>
      </c>
      <c r="B42" s="153"/>
      <c r="C42" s="153" t="s">
        <v>55</v>
      </c>
      <c r="D42" s="153"/>
      <c r="E42" s="153"/>
      <c r="F42" s="153"/>
      <c r="G42" s="153"/>
      <c r="H42" s="172"/>
      <c r="I42" s="153"/>
      <c r="J42" s="153"/>
      <c r="K42" s="153"/>
      <c r="L42" s="153"/>
      <c r="M42" s="9"/>
      <c r="N42" s="62"/>
    </row>
    <row r="43" spans="1:14" ht="15.75" thickBot="1" x14ac:dyDescent="0.3">
      <c r="A43" s="173" t="s">
        <v>56</v>
      </c>
      <c r="B43" s="161"/>
      <c r="C43" s="161"/>
      <c r="D43" s="161"/>
      <c r="E43" s="161"/>
      <c r="F43" s="161"/>
      <c r="G43" s="161"/>
      <c r="H43" s="161"/>
      <c r="I43" s="161"/>
      <c r="J43" s="161"/>
      <c r="K43" s="161"/>
      <c r="L43" s="161"/>
      <c r="M43" s="96"/>
      <c r="N43" s="162"/>
    </row>
    <row r="44" spans="1:14" ht="13.5" thickBot="1" x14ac:dyDescent="0.25"/>
    <row r="45" spans="1:14" x14ac:dyDescent="0.2">
      <c r="A45" s="174" t="s">
        <v>57</v>
      </c>
      <c r="B45" s="175"/>
      <c r="C45" s="175"/>
      <c r="D45" s="175"/>
      <c r="E45" s="175"/>
      <c r="F45" s="176"/>
      <c r="G45" s="177"/>
      <c r="H45" s="177"/>
      <c r="I45" s="177"/>
      <c r="J45" s="177"/>
      <c r="K45" s="177"/>
      <c r="L45" s="177"/>
      <c r="M45" s="117"/>
      <c r="N45" s="118"/>
    </row>
    <row r="46" spans="1:14" s="182" customFormat="1" ht="11.25" x14ac:dyDescent="0.2">
      <c r="A46" s="178" t="s">
        <v>58</v>
      </c>
      <c r="B46" s="179"/>
      <c r="C46" s="179"/>
      <c r="D46" s="179"/>
      <c r="E46" s="179"/>
      <c r="F46" s="180"/>
      <c r="G46" s="181"/>
      <c r="H46" s="181"/>
      <c r="I46" s="181"/>
      <c r="J46" s="181"/>
      <c r="K46" s="181"/>
      <c r="L46" s="181"/>
      <c r="M46" s="6"/>
      <c r="N46" s="119"/>
    </row>
    <row r="47" spans="1:14" s="182" customFormat="1" ht="33.75" x14ac:dyDescent="0.2">
      <c r="A47" s="183" t="s">
        <v>59</v>
      </c>
      <c r="B47" s="184" t="s">
        <v>60</v>
      </c>
      <c r="C47" s="185" t="s">
        <v>61</v>
      </c>
      <c r="D47" s="185" t="s">
        <v>62</v>
      </c>
      <c r="E47" s="185"/>
      <c r="G47" s="185" t="str">
        <f>G$18</f>
        <v>TOTAL
PROGRAM
BUDGET</v>
      </c>
      <c r="H47" s="185" t="str">
        <f t="shared" ref="H47:N47" si="9">H$18</f>
        <v>HSGP GRANT
BUDGET</v>
      </c>
      <c r="I47" s="185" t="str">
        <f t="shared" si="9"/>
        <v>NON-CITY PROGRAM BUDGET</v>
      </c>
      <c r="J47" s="185" t="str">
        <f t="shared" si="9"/>
        <v>HSGP
MID-YEAR EXPEND.</v>
      </c>
      <c r="K47" s="185" t="str">
        <f t="shared" si="9"/>
        <v>HSGP
YEAR-END EXPEND.</v>
      </c>
      <c r="L47" s="185" t="str">
        <f t="shared" si="9"/>
        <v>HSGP TOTAL EXPEND.</v>
      </c>
      <c r="M47" s="18" t="str">
        <f t="shared" si="9"/>
        <v>HSGP PERCENT EXPENDED</v>
      </c>
      <c r="N47" s="120" t="str">
        <f t="shared" si="9"/>
        <v>YEAR-END
 TOTAL PROGRAM EXPEND.</v>
      </c>
    </row>
    <row r="48" spans="1:14" x14ac:dyDescent="0.2">
      <c r="A48" s="186"/>
      <c r="B48" s="187"/>
      <c r="C48" s="188" t="s">
        <v>52</v>
      </c>
      <c r="D48" s="189">
        <f>SUM(D49:D57)</f>
        <v>9</v>
      </c>
      <c r="E48" s="190"/>
      <c r="G48" s="107">
        <f t="shared" ref="G48:L48" si="10">SUM(G49:G57)</f>
        <v>192007.70015999998</v>
      </c>
      <c r="H48" s="107">
        <f t="shared" si="10"/>
        <v>45884.14</v>
      </c>
      <c r="I48" s="115">
        <f t="shared" si="10"/>
        <v>146123.56015999999</v>
      </c>
      <c r="J48" s="116">
        <f t="shared" si="10"/>
        <v>18997.300000000003</v>
      </c>
      <c r="K48" s="116">
        <f t="shared" si="10"/>
        <v>26886.84</v>
      </c>
      <c r="L48" s="115">
        <f t="shared" si="10"/>
        <v>45884.14</v>
      </c>
      <c r="M48" s="12">
        <f>IFERROR(L48/H48,"N/A")</f>
        <v>1</v>
      </c>
      <c r="N48" s="121">
        <f>SUM(N49:N57)</f>
        <v>192007.69999999998</v>
      </c>
    </row>
    <row r="49" spans="1:14" hidden="1" outlineLevel="1" x14ac:dyDescent="0.2">
      <c r="A49" s="186" t="s">
        <v>63</v>
      </c>
      <c r="B49" s="187" t="s">
        <v>64</v>
      </c>
      <c r="C49" s="188" t="s">
        <v>52</v>
      </c>
      <c r="D49" s="189">
        <v>1</v>
      </c>
      <c r="E49" s="190"/>
      <c r="G49" s="107">
        <v>43778</v>
      </c>
      <c r="H49" s="99">
        <v>25018.85</v>
      </c>
      <c r="I49" s="64">
        <f>G49-H49</f>
        <v>18759.150000000001</v>
      </c>
      <c r="J49" s="191">
        <v>10348.469999999999</v>
      </c>
      <c r="K49" s="191">
        <f>12629.63+2040.75</f>
        <v>14670.38</v>
      </c>
      <c r="L49" s="192">
        <f>SUM(J49:K49)</f>
        <v>25018.85</v>
      </c>
      <c r="M49" s="12">
        <f>IFERROR(L49/H49,"N/A")</f>
        <v>1</v>
      </c>
      <c r="N49" s="193">
        <v>43778</v>
      </c>
    </row>
    <row r="50" spans="1:14" hidden="1" outlineLevel="1" x14ac:dyDescent="0.2">
      <c r="A50" s="186" t="s">
        <v>65</v>
      </c>
      <c r="B50" s="187" t="s">
        <v>66</v>
      </c>
      <c r="C50" s="188" t="s">
        <v>52</v>
      </c>
      <c r="D50" s="189">
        <v>1</v>
      </c>
      <c r="E50" s="190"/>
      <c r="G50" s="107">
        <v>22258.416959999999</v>
      </c>
      <c r="H50" s="99">
        <v>0</v>
      </c>
      <c r="I50" s="68">
        <f t="shared" ref="I50:I116" si="11">G50-H50</f>
        <v>22258.416959999999</v>
      </c>
      <c r="J50" s="191">
        <v>0</v>
      </c>
      <c r="K50" s="191">
        <v>0</v>
      </c>
      <c r="L50" s="192">
        <f t="shared" ref="L50:L116" si="12">SUM(J50:K50)</f>
        <v>0</v>
      </c>
      <c r="M50" s="12" t="str">
        <f t="shared" ref="M50:M116" si="13">IFERROR(L50/H50,"N/A")</f>
        <v>N/A</v>
      </c>
      <c r="N50" s="193">
        <v>22258.42</v>
      </c>
    </row>
    <row r="51" spans="1:14" hidden="1" outlineLevel="1" x14ac:dyDescent="0.2">
      <c r="A51" s="186" t="s">
        <v>67</v>
      </c>
      <c r="B51" s="187" t="s">
        <v>68</v>
      </c>
      <c r="C51" s="188" t="s">
        <v>52</v>
      </c>
      <c r="D51" s="189">
        <v>1</v>
      </c>
      <c r="E51" s="190"/>
      <c r="G51" s="107">
        <v>42012</v>
      </c>
      <c r="H51" s="99">
        <v>19563.78</v>
      </c>
      <c r="I51" s="68">
        <f t="shared" si="11"/>
        <v>22448.22</v>
      </c>
      <c r="J51" s="191">
        <v>8003.43</v>
      </c>
      <c r="K51" s="191">
        <f>9846.54+1713.81</f>
        <v>11560.35</v>
      </c>
      <c r="L51" s="192">
        <f t="shared" si="12"/>
        <v>19563.78</v>
      </c>
      <c r="M51" s="12">
        <f t="shared" si="13"/>
        <v>1</v>
      </c>
      <c r="N51" s="193">
        <v>42012</v>
      </c>
    </row>
    <row r="52" spans="1:14" hidden="1" outlineLevel="1" x14ac:dyDescent="0.2">
      <c r="A52" s="186" t="s">
        <v>69</v>
      </c>
      <c r="B52" s="187" t="s">
        <v>70</v>
      </c>
      <c r="C52" s="188" t="s">
        <v>52</v>
      </c>
      <c r="D52" s="189">
        <v>1</v>
      </c>
      <c r="E52" s="190"/>
      <c r="G52" s="107">
        <v>29416.815999999999</v>
      </c>
      <c r="H52" s="99">
        <v>0</v>
      </c>
      <c r="I52" s="68">
        <f t="shared" si="11"/>
        <v>29416.815999999999</v>
      </c>
      <c r="J52" s="191">
        <v>0</v>
      </c>
      <c r="K52" s="191">
        <v>0</v>
      </c>
      <c r="L52" s="192">
        <f t="shared" si="12"/>
        <v>0</v>
      </c>
      <c r="M52" s="12" t="str">
        <f t="shared" si="13"/>
        <v>N/A</v>
      </c>
      <c r="N52" s="193">
        <v>29416.82</v>
      </c>
    </row>
    <row r="53" spans="1:14" hidden="1" outlineLevel="1" x14ac:dyDescent="0.2">
      <c r="A53" s="186" t="s">
        <v>71</v>
      </c>
      <c r="B53" s="187" t="s">
        <v>72</v>
      </c>
      <c r="C53" s="188" t="s">
        <v>52</v>
      </c>
      <c r="D53" s="189">
        <v>1</v>
      </c>
      <c r="E53" s="190"/>
      <c r="G53" s="107">
        <v>5883.3631999999998</v>
      </c>
      <c r="H53" s="99">
        <v>0</v>
      </c>
      <c r="I53" s="68">
        <f t="shared" si="11"/>
        <v>5883.3631999999998</v>
      </c>
      <c r="J53" s="191">
        <v>0</v>
      </c>
      <c r="K53" s="191">
        <v>0</v>
      </c>
      <c r="L53" s="192">
        <f t="shared" si="12"/>
        <v>0</v>
      </c>
      <c r="M53" s="12" t="str">
        <f t="shared" si="13"/>
        <v>N/A</v>
      </c>
      <c r="N53" s="193">
        <v>5883.36</v>
      </c>
    </row>
    <row r="54" spans="1:14" hidden="1" outlineLevel="1" x14ac:dyDescent="0.2">
      <c r="A54" s="186" t="s">
        <v>73</v>
      </c>
      <c r="B54" s="187" t="s">
        <v>74</v>
      </c>
      <c r="C54" s="188" t="s">
        <v>52</v>
      </c>
      <c r="D54" s="189">
        <v>1</v>
      </c>
      <c r="E54" s="190"/>
      <c r="G54" s="107">
        <v>19292</v>
      </c>
      <c r="H54" s="99">
        <v>0</v>
      </c>
      <c r="I54" s="68">
        <f t="shared" si="11"/>
        <v>19292</v>
      </c>
      <c r="J54" s="191">
        <v>0</v>
      </c>
      <c r="K54" s="191">
        <v>0</v>
      </c>
      <c r="L54" s="192">
        <f t="shared" si="12"/>
        <v>0</v>
      </c>
      <c r="M54" s="12" t="str">
        <f t="shared" si="13"/>
        <v>N/A</v>
      </c>
      <c r="N54" s="193">
        <v>19292</v>
      </c>
    </row>
    <row r="55" spans="1:14" hidden="1" outlineLevel="1" x14ac:dyDescent="0.2">
      <c r="A55" s="186" t="s">
        <v>75</v>
      </c>
      <c r="B55" s="187" t="s">
        <v>76</v>
      </c>
      <c r="C55" s="188" t="s">
        <v>52</v>
      </c>
      <c r="D55" s="189">
        <v>1</v>
      </c>
      <c r="E55" s="190"/>
      <c r="G55" s="107">
        <v>19240</v>
      </c>
      <c r="H55" s="99">
        <v>0</v>
      </c>
      <c r="I55" s="68">
        <f t="shared" si="11"/>
        <v>19240</v>
      </c>
      <c r="J55" s="191">
        <v>0</v>
      </c>
      <c r="K55" s="191">
        <v>0</v>
      </c>
      <c r="L55" s="192">
        <f t="shared" si="12"/>
        <v>0</v>
      </c>
      <c r="M55" s="12" t="str">
        <f t="shared" si="13"/>
        <v>N/A</v>
      </c>
      <c r="N55" s="193">
        <v>19240</v>
      </c>
    </row>
    <row r="56" spans="1:14" hidden="1" outlineLevel="1" x14ac:dyDescent="0.2">
      <c r="A56" s="186" t="s">
        <v>77</v>
      </c>
      <c r="B56" s="187" t="s">
        <v>76</v>
      </c>
      <c r="C56" s="194" t="s">
        <v>52</v>
      </c>
      <c r="D56" s="195">
        <v>1</v>
      </c>
      <c r="E56" s="196"/>
      <c r="G56" s="107">
        <v>0</v>
      </c>
      <c r="H56" s="99">
        <v>0</v>
      </c>
      <c r="I56" s="68">
        <f t="shared" si="11"/>
        <v>0</v>
      </c>
      <c r="J56" s="191">
        <v>0</v>
      </c>
      <c r="K56" s="191">
        <v>0</v>
      </c>
      <c r="L56" s="192">
        <f t="shared" si="12"/>
        <v>0</v>
      </c>
      <c r="M56" s="12" t="str">
        <f t="shared" si="13"/>
        <v>N/A</v>
      </c>
      <c r="N56" s="193">
        <v>0</v>
      </c>
    </row>
    <row r="57" spans="1:14" hidden="1" outlineLevel="1" x14ac:dyDescent="0.2">
      <c r="A57" s="186" t="s">
        <v>78</v>
      </c>
      <c r="B57" s="187" t="s">
        <v>79</v>
      </c>
      <c r="C57" s="188" t="s">
        <v>52</v>
      </c>
      <c r="D57" s="189">
        <v>1</v>
      </c>
      <c r="E57" s="190"/>
      <c r="G57" s="107">
        <v>10127.103999999999</v>
      </c>
      <c r="H57" s="99">
        <v>1301.51</v>
      </c>
      <c r="I57" s="68">
        <f t="shared" si="11"/>
        <v>8825.5939999999991</v>
      </c>
      <c r="J57" s="191">
        <v>645.4</v>
      </c>
      <c r="K57" s="191">
        <f>546.1+110.01</f>
        <v>656.11</v>
      </c>
      <c r="L57" s="192">
        <f t="shared" si="12"/>
        <v>1301.51</v>
      </c>
      <c r="M57" s="12">
        <f t="shared" si="13"/>
        <v>1</v>
      </c>
      <c r="N57" s="193">
        <v>10127.1</v>
      </c>
    </row>
    <row r="58" spans="1:14" collapsed="1" x14ac:dyDescent="0.2">
      <c r="A58" s="186"/>
      <c r="B58" s="187"/>
      <c r="C58" s="188" t="s">
        <v>55</v>
      </c>
      <c r="D58" s="189">
        <f>SUM(D59:D147)</f>
        <v>86.5</v>
      </c>
      <c r="E58" s="190"/>
      <c r="G58" s="107">
        <f t="shared" ref="G58:L58" si="14">SUM(G59:G147)</f>
        <v>1596775.6290399993</v>
      </c>
      <c r="H58" s="107">
        <f t="shared" si="14"/>
        <v>178830.93000000002</v>
      </c>
      <c r="I58" s="68">
        <f t="shared" si="14"/>
        <v>1417944.6990399994</v>
      </c>
      <c r="J58" s="191">
        <f t="shared" si="14"/>
        <v>81579.33</v>
      </c>
      <c r="K58" s="191">
        <f t="shared" si="14"/>
        <v>97251.42</v>
      </c>
      <c r="L58" s="192">
        <f t="shared" si="14"/>
        <v>178830.75000000003</v>
      </c>
      <c r="M58" s="12">
        <f t="shared" si="13"/>
        <v>0.99999899346270804</v>
      </c>
      <c r="N58" s="193">
        <v>0</v>
      </c>
    </row>
    <row r="59" spans="1:14" hidden="1" outlineLevel="1" x14ac:dyDescent="0.2">
      <c r="A59" s="186" t="s">
        <v>80</v>
      </c>
      <c r="B59" s="187" t="s">
        <v>81</v>
      </c>
      <c r="C59" s="188" t="s">
        <v>55</v>
      </c>
      <c r="D59" s="189">
        <v>1</v>
      </c>
      <c r="E59" s="190"/>
      <c r="G59" s="107">
        <v>11440</v>
      </c>
      <c r="H59" s="99">
        <v>2017.88</v>
      </c>
      <c r="I59" s="68">
        <f t="shared" si="11"/>
        <v>9422.119999999999</v>
      </c>
      <c r="J59" s="191">
        <v>1000.02</v>
      </c>
      <c r="K59" s="191">
        <f>846.17+171.69</f>
        <v>1017.8599999999999</v>
      </c>
      <c r="L59" s="192">
        <f t="shared" si="12"/>
        <v>2017.8799999999999</v>
      </c>
      <c r="M59" s="12">
        <f t="shared" si="13"/>
        <v>0.99999999999999989</v>
      </c>
      <c r="N59" s="193">
        <v>11440</v>
      </c>
    </row>
    <row r="60" spans="1:14" hidden="1" outlineLevel="1" x14ac:dyDescent="0.2">
      <c r="A60" s="186" t="s">
        <v>82</v>
      </c>
      <c r="B60" s="187" t="s">
        <v>83</v>
      </c>
      <c r="C60" s="188" t="s">
        <v>55</v>
      </c>
      <c r="D60" s="189">
        <v>1</v>
      </c>
      <c r="E60" s="190"/>
      <c r="G60" s="107">
        <v>19905.599999999999</v>
      </c>
      <c r="H60" s="99">
        <v>0</v>
      </c>
      <c r="I60" s="68">
        <f t="shared" si="11"/>
        <v>19905.599999999999</v>
      </c>
      <c r="J60" s="191">
        <v>0</v>
      </c>
      <c r="K60" s="191">
        <v>0</v>
      </c>
      <c r="L60" s="192">
        <f t="shared" si="12"/>
        <v>0</v>
      </c>
      <c r="M60" s="12" t="str">
        <f t="shared" si="13"/>
        <v>N/A</v>
      </c>
      <c r="N60" s="193">
        <v>19905.599999999999</v>
      </c>
    </row>
    <row r="61" spans="1:14" hidden="1" outlineLevel="1" x14ac:dyDescent="0.2">
      <c r="A61" s="186" t="s">
        <v>84</v>
      </c>
      <c r="B61" s="187" t="s">
        <v>85</v>
      </c>
      <c r="C61" s="188" t="s">
        <v>55</v>
      </c>
      <c r="D61" s="189">
        <v>1</v>
      </c>
      <c r="E61" s="190"/>
      <c r="G61" s="197">
        <v>19240</v>
      </c>
      <c r="H61" s="198">
        <v>4131.6400000000003</v>
      </c>
      <c r="I61" s="68">
        <f>G61-H61</f>
        <v>15108.36</v>
      </c>
      <c r="J61" s="191">
        <v>1042.73</v>
      </c>
      <c r="K61" s="191">
        <f>2330.24+758.67</f>
        <v>3088.91</v>
      </c>
      <c r="L61" s="192">
        <f>SUM(J61:K61)</f>
        <v>4131.6399999999994</v>
      </c>
      <c r="M61" s="12">
        <f>IFERROR(L61/H61,"N/A")</f>
        <v>0.99999999999999978</v>
      </c>
      <c r="N61" s="193">
        <v>19240</v>
      </c>
    </row>
    <row r="62" spans="1:14" hidden="1" outlineLevel="1" x14ac:dyDescent="0.2">
      <c r="A62" s="186" t="s">
        <v>86</v>
      </c>
      <c r="B62" s="187" t="s">
        <v>87</v>
      </c>
      <c r="C62" s="188" t="s">
        <v>55</v>
      </c>
      <c r="D62" s="189">
        <v>1</v>
      </c>
      <c r="E62" s="190"/>
      <c r="G62" s="107">
        <v>18200</v>
      </c>
      <c r="H62" s="99">
        <v>1655.49</v>
      </c>
      <c r="I62" s="68">
        <f t="shared" si="11"/>
        <v>16544.509999999998</v>
      </c>
      <c r="J62" s="191">
        <v>1655.49</v>
      </c>
      <c r="K62" s="191">
        <v>0</v>
      </c>
      <c r="L62" s="192">
        <f t="shared" si="12"/>
        <v>1655.49</v>
      </c>
      <c r="M62" s="12">
        <f t="shared" si="13"/>
        <v>1</v>
      </c>
      <c r="N62" s="193">
        <v>18200</v>
      </c>
    </row>
    <row r="63" spans="1:14" hidden="1" outlineLevel="1" x14ac:dyDescent="0.2">
      <c r="A63" s="186" t="s">
        <v>88</v>
      </c>
      <c r="B63" s="187" t="s">
        <v>87</v>
      </c>
      <c r="C63" s="188" t="s">
        <v>55</v>
      </c>
      <c r="D63" s="189">
        <v>1</v>
      </c>
      <c r="E63" s="190"/>
      <c r="G63" s="107">
        <v>33800</v>
      </c>
      <c r="H63" s="99">
        <v>4689.3100000000004</v>
      </c>
      <c r="I63" s="68">
        <f t="shared" si="11"/>
        <v>29110.69</v>
      </c>
      <c r="J63" s="191">
        <v>350</v>
      </c>
      <c r="K63" s="191">
        <v>4339.3100000000004</v>
      </c>
      <c r="L63" s="192">
        <f t="shared" si="12"/>
        <v>4689.3100000000004</v>
      </c>
      <c r="M63" s="12">
        <f t="shared" si="13"/>
        <v>1</v>
      </c>
      <c r="N63" s="193">
        <v>33800</v>
      </c>
    </row>
    <row r="64" spans="1:14" hidden="1" outlineLevel="1" x14ac:dyDescent="0.2">
      <c r="A64" s="186" t="s">
        <v>89</v>
      </c>
      <c r="B64" s="187" t="s">
        <v>87</v>
      </c>
      <c r="C64" s="194" t="s">
        <v>55</v>
      </c>
      <c r="D64" s="195">
        <v>1</v>
      </c>
      <c r="E64" s="196"/>
      <c r="G64" s="107">
        <v>18047.11</v>
      </c>
      <c r="H64" s="99">
        <v>1742.07</v>
      </c>
      <c r="I64" s="68">
        <f t="shared" si="11"/>
        <v>16305.04</v>
      </c>
      <c r="J64" s="191">
        <v>0</v>
      </c>
      <c r="K64" s="191">
        <f>1742.07</f>
        <v>1742.07</v>
      </c>
      <c r="L64" s="192">
        <f t="shared" si="12"/>
        <v>1742.07</v>
      </c>
      <c r="M64" s="12">
        <f t="shared" si="13"/>
        <v>1</v>
      </c>
      <c r="N64" s="193">
        <v>18047.11</v>
      </c>
    </row>
    <row r="65" spans="1:14" hidden="1" outlineLevel="1" x14ac:dyDescent="0.2">
      <c r="A65" s="186" t="s">
        <v>90</v>
      </c>
      <c r="B65" s="187" t="s">
        <v>91</v>
      </c>
      <c r="C65" s="188" t="s">
        <v>55</v>
      </c>
      <c r="D65" s="189">
        <v>1</v>
      </c>
      <c r="E65" s="190"/>
      <c r="G65" s="107">
        <v>53600</v>
      </c>
      <c r="H65" s="99">
        <v>10960.68</v>
      </c>
      <c r="I65" s="68">
        <f t="shared" si="11"/>
        <v>42639.32</v>
      </c>
      <c r="J65" s="191">
        <v>10960.68</v>
      </c>
      <c r="K65" s="191">
        <v>0</v>
      </c>
      <c r="L65" s="192">
        <f t="shared" si="12"/>
        <v>10960.68</v>
      </c>
      <c r="M65" s="12">
        <f t="shared" si="13"/>
        <v>1</v>
      </c>
      <c r="N65" s="193">
        <v>53600</v>
      </c>
    </row>
    <row r="66" spans="1:14" hidden="1" outlineLevel="1" x14ac:dyDescent="0.2">
      <c r="A66" s="186" t="s">
        <v>92</v>
      </c>
      <c r="B66" s="187" t="s">
        <v>91</v>
      </c>
      <c r="C66" s="188" t="s">
        <v>55</v>
      </c>
      <c r="D66" s="189">
        <v>1</v>
      </c>
      <c r="E66" s="190"/>
      <c r="G66" s="107">
        <v>40000</v>
      </c>
      <c r="H66" s="99">
        <v>10584.12</v>
      </c>
      <c r="I66" s="68">
        <f t="shared" si="11"/>
        <v>29415.879999999997</v>
      </c>
      <c r="J66" s="191">
        <v>0</v>
      </c>
      <c r="K66" s="191">
        <f>10584.12</f>
        <v>10584.12</v>
      </c>
      <c r="L66" s="192">
        <f t="shared" si="12"/>
        <v>10584.12</v>
      </c>
      <c r="M66" s="12">
        <f t="shared" si="13"/>
        <v>1</v>
      </c>
      <c r="N66" s="193">
        <v>40000</v>
      </c>
    </row>
    <row r="67" spans="1:14" hidden="1" outlineLevel="1" x14ac:dyDescent="0.2">
      <c r="A67" s="186" t="s">
        <v>93</v>
      </c>
      <c r="B67" s="187" t="s">
        <v>94</v>
      </c>
      <c r="C67" s="188" t="s">
        <v>55</v>
      </c>
      <c r="D67" s="189">
        <v>1</v>
      </c>
      <c r="E67" s="190"/>
      <c r="G67" s="107">
        <v>62127.103999999999</v>
      </c>
      <c r="H67" s="99">
        <v>2199.8000000000002</v>
      </c>
      <c r="I67" s="68">
        <f t="shared" si="11"/>
        <v>59927.303999999996</v>
      </c>
      <c r="J67" s="191">
        <v>2199.8000000000002</v>
      </c>
      <c r="K67" s="191">
        <v>0</v>
      </c>
      <c r="L67" s="192">
        <f t="shared" si="12"/>
        <v>2199.8000000000002</v>
      </c>
      <c r="M67" s="12">
        <f t="shared" si="13"/>
        <v>1</v>
      </c>
      <c r="N67" s="193">
        <v>62127.1</v>
      </c>
    </row>
    <row r="68" spans="1:14" hidden="1" outlineLevel="1" x14ac:dyDescent="0.2">
      <c r="A68" s="186" t="s">
        <v>95</v>
      </c>
      <c r="B68" s="187" t="s">
        <v>94</v>
      </c>
      <c r="C68" s="188" t="s">
        <v>55</v>
      </c>
      <c r="D68" s="189">
        <v>1</v>
      </c>
      <c r="E68" s="190"/>
      <c r="G68" s="107">
        <v>57127</v>
      </c>
      <c r="H68" s="99">
        <v>17056.509999999998</v>
      </c>
      <c r="I68" s="68">
        <f t="shared" si="11"/>
        <v>40070.490000000005</v>
      </c>
      <c r="J68" s="191">
        <v>6131.55</v>
      </c>
      <c r="K68" s="191">
        <f>9232.8+1692.16</f>
        <v>10924.96</v>
      </c>
      <c r="L68" s="192">
        <f t="shared" ref="L68" si="15">SUM(J68:K68)</f>
        <v>17056.509999999998</v>
      </c>
      <c r="M68" s="12">
        <f t="shared" ref="M68" si="16">IFERROR(L68/H68,"N/A")</f>
        <v>1</v>
      </c>
      <c r="N68" s="193">
        <v>57127</v>
      </c>
    </row>
    <row r="69" spans="1:14" hidden="1" outlineLevel="1" x14ac:dyDescent="0.2">
      <c r="A69" s="186" t="s">
        <v>96</v>
      </c>
      <c r="B69" s="187" t="s">
        <v>97</v>
      </c>
      <c r="C69" s="188" t="s">
        <v>55</v>
      </c>
      <c r="D69" s="189">
        <v>1</v>
      </c>
      <c r="E69" s="190"/>
      <c r="G69" s="107">
        <v>5300</v>
      </c>
      <c r="H69" s="99">
        <v>5275.33</v>
      </c>
      <c r="I69" s="68">
        <f t="shared" si="11"/>
        <v>24.670000000000073</v>
      </c>
      <c r="J69" s="199">
        <v>5275.33</v>
      </c>
      <c r="K69" s="191">
        <v>0</v>
      </c>
      <c r="L69" s="192">
        <f t="shared" si="12"/>
        <v>5275.33</v>
      </c>
      <c r="M69" s="12">
        <f t="shared" si="13"/>
        <v>1</v>
      </c>
      <c r="N69" s="193">
        <v>5300</v>
      </c>
    </row>
    <row r="70" spans="1:14" hidden="1" outlineLevel="1" x14ac:dyDescent="0.2">
      <c r="A70" s="186" t="s">
        <v>98</v>
      </c>
      <c r="B70" s="187" t="s">
        <v>97</v>
      </c>
      <c r="C70" s="200" t="s">
        <v>55</v>
      </c>
      <c r="D70" s="195">
        <v>1</v>
      </c>
      <c r="E70" s="196"/>
      <c r="G70" s="197">
        <v>18162.580000000002</v>
      </c>
      <c r="H70" s="198">
        <v>0</v>
      </c>
      <c r="I70" s="68">
        <f>G70-H70</f>
        <v>18162.580000000002</v>
      </c>
      <c r="J70" s="191"/>
      <c r="K70" s="191"/>
      <c r="L70" s="192">
        <f>SUM(J70:K70)</f>
        <v>0</v>
      </c>
      <c r="M70" s="12" t="str">
        <f>IFERROR(L70/H70,"N/A")</f>
        <v>N/A</v>
      </c>
      <c r="N70" s="193">
        <v>18162.580000000002</v>
      </c>
    </row>
    <row r="71" spans="1:14" hidden="1" outlineLevel="1" x14ac:dyDescent="0.2">
      <c r="A71" s="186" t="s">
        <v>99</v>
      </c>
      <c r="B71" s="187" t="s">
        <v>100</v>
      </c>
      <c r="C71" s="188" t="s">
        <v>55</v>
      </c>
      <c r="D71" s="189">
        <v>0.5</v>
      </c>
      <c r="E71" s="190"/>
      <c r="G71" s="107">
        <v>67600</v>
      </c>
      <c r="H71" s="99">
        <v>23842.71</v>
      </c>
      <c r="I71" s="68">
        <f t="shared" si="11"/>
        <v>43757.29</v>
      </c>
      <c r="J71" s="191">
        <v>10217.32</v>
      </c>
      <c r="K71" s="191">
        <f>11285.39+2340</f>
        <v>13625.39</v>
      </c>
      <c r="L71" s="192">
        <f t="shared" si="12"/>
        <v>23842.71</v>
      </c>
      <c r="M71" s="12">
        <f t="shared" si="13"/>
        <v>1</v>
      </c>
      <c r="N71" s="193">
        <v>67600</v>
      </c>
    </row>
    <row r="72" spans="1:14" hidden="1" outlineLevel="1" x14ac:dyDescent="0.2">
      <c r="A72" s="186" t="s">
        <v>101</v>
      </c>
      <c r="B72" s="187" t="s">
        <v>102</v>
      </c>
      <c r="C72" s="200" t="s">
        <v>55</v>
      </c>
      <c r="D72" s="195">
        <v>1</v>
      </c>
      <c r="E72" s="196"/>
      <c r="G72" s="197">
        <v>41995.199999999997</v>
      </c>
      <c r="H72" s="198">
        <v>8423.67</v>
      </c>
      <c r="I72" s="68">
        <f>G72-H72</f>
        <v>33571.53</v>
      </c>
      <c r="J72" s="191">
        <v>5812.7</v>
      </c>
      <c r="K72" s="191">
        <v>2610.9699999999998</v>
      </c>
      <c r="L72" s="192">
        <f>SUM(J72:K72)</f>
        <v>8423.67</v>
      </c>
      <c r="M72" s="12">
        <f>IFERROR(L72/H72,"N/A")</f>
        <v>1</v>
      </c>
      <c r="N72" s="193">
        <v>41995.199999999997</v>
      </c>
    </row>
    <row r="73" spans="1:14" hidden="1" outlineLevel="1" x14ac:dyDescent="0.2">
      <c r="A73" s="186" t="s">
        <v>77</v>
      </c>
      <c r="B73" s="187" t="s">
        <v>102</v>
      </c>
      <c r="C73" s="194" t="s">
        <v>55</v>
      </c>
      <c r="D73" s="195">
        <v>1</v>
      </c>
      <c r="E73" s="196"/>
      <c r="G73" s="107">
        <v>0</v>
      </c>
      <c r="H73" s="99">
        <v>0</v>
      </c>
      <c r="I73" s="68">
        <f t="shared" ref="I73:I74" si="17">G73-H73</f>
        <v>0</v>
      </c>
      <c r="J73" s="191">
        <v>0</v>
      </c>
      <c r="K73" s="191">
        <v>0</v>
      </c>
      <c r="L73" s="192">
        <f t="shared" ref="L73:L74" si="18">SUM(J73:K73)</f>
        <v>0</v>
      </c>
      <c r="M73" s="12" t="str">
        <f t="shared" ref="M73:M74" si="19">IFERROR(L73/H73,"N/A")</f>
        <v>N/A</v>
      </c>
      <c r="N73" s="193">
        <v>0</v>
      </c>
    </row>
    <row r="74" spans="1:14" hidden="1" outlineLevel="1" x14ac:dyDescent="0.2">
      <c r="A74" s="186" t="s">
        <v>103</v>
      </c>
      <c r="B74" s="187" t="s">
        <v>104</v>
      </c>
      <c r="C74" s="194" t="s">
        <v>55</v>
      </c>
      <c r="D74" s="195">
        <v>1</v>
      </c>
      <c r="E74" s="196"/>
      <c r="G74" s="107">
        <v>16798.080000000002</v>
      </c>
      <c r="H74" s="99">
        <v>2441.62</v>
      </c>
      <c r="I74" s="68">
        <f t="shared" si="17"/>
        <v>14356.460000000003</v>
      </c>
      <c r="J74" s="191">
        <v>0</v>
      </c>
      <c r="K74" s="191">
        <f>2441.62</f>
        <v>2441.62</v>
      </c>
      <c r="L74" s="192">
        <f t="shared" si="18"/>
        <v>2441.62</v>
      </c>
      <c r="M74" s="12">
        <f t="shared" si="19"/>
        <v>1</v>
      </c>
      <c r="N74" s="193">
        <v>16798.080000000002</v>
      </c>
    </row>
    <row r="75" spans="1:14" hidden="1" outlineLevel="1" x14ac:dyDescent="0.2">
      <c r="A75" s="186" t="s">
        <v>105</v>
      </c>
      <c r="B75" s="187" t="s">
        <v>97</v>
      </c>
      <c r="C75" s="188" t="s">
        <v>55</v>
      </c>
      <c r="D75" s="189">
        <v>1</v>
      </c>
      <c r="E75" s="190"/>
      <c r="G75" s="107">
        <v>47840</v>
      </c>
      <c r="H75" s="99">
        <v>15483</v>
      </c>
      <c r="I75" s="68">
        <f t="shared" si="11"/>
        <v>32357</v>
      </c>
      <c r="J75" s="191">
        <v>9516.48</v>
      </c>
      <c r="K75" s="191">
        <v>5966.52</v>
      </c>
      <c r="L75" s="192">
        <f t="shared" si="12"/>
        <v>15483</v>
      </c>
      <c r="M75" s="12">
        <f t="shared" si="13"/>
        <v>1</v>
      </c>
      <c r="N75" s="193">
        <v>47840</v>
      </c>
    </row>
    <row r="76" spans="1:14" hidden="1" outlineLevel="1" x14ac:dyDescent="0.2">
      <c r="A76" s="186" t="s">
        <v>106</v>
      </c>
      <c r="B76" s="187" t="s">
        <v>97</v>
      </c>
      <c r="C76" s="188" t="s">
        <v>55</v>
      </c>
      <c r="D76" s="189">
        <v>1</v>
      </c>
      <c r="E76" s="190"/>
      <c r="G76" s="107">
        <v>46488</v>
      </c>
      <c r="H76" s="99">
        <v>19114.05</v>
      </c>
      <c r="I76" s="68">
        <f t="shared" si="11"/>
        <v>27373.95</v>
      </c>
      <c r="J76" s="191">
        <v>8602.9599999999991</v>
      </c>
      <c r="K76" s="191">
        <f>8119.48+2391.61</f>
        <v>10511.09</v>
      </c>
      <c r="L76" s="192">
        <f t="shared" si="12"/>
        <v>19114.05</v>
      </c>
      <c r="M76" s="12">
        <f t="shared" si="13"/>
        <v>1</v>
      </c>
      <c r="N76" s="193">
        <v>46488</v>
      </c>
    </row>
    <row r="77" spans="1:14" hidden="1" outlineLevel="1" x14ac:dyDescent="0.2">
      <c r="A77" s="186" t="s">
        <v>107</v>
      </c>
      <c r="B77" s="187" t="s">
        <v>108</v>
      </c>
      <c r="C77" s="194" t="s">
        <v>55</v>
      </c>
      <c r="D77" s="195">
        <v>1</v>
      </c>
      <c r="E77" s="196"/>
      <c r="G77" s="107">
        <v>17472</v>
      </c>
      <c r="H77" s="99">
        <v>5725.3099999999995</v>
      </c>
      <c r="I77" s="68">
        <f t="shared" si="11"/>
        <v>11746.69</v>
      </c>
      <c r="J77" s="191">
        <v>0</v>
      </c>
      <c r="K77" s="191">
        <v>5725.31</v>
      </c>
      <c r="L77" s="192">
        <f>SUM(J77:K77)</f>
        <v>5725.31</v>
      </c>
      <c r="M77" s="12">
        <f t="shared" si="13"/>
        <v>1.0000000000000002</v>
      </c>
      <c r="N77" s="193">
        <v>17472</v>
      </c>
    </row>
    <row r="78" spans="1:14" hidden="1" outlineLevel="1" x14ac:dyDescent="0.2">
      <c r="A78" s="186" t="s">
        <v>77</v>
      </c>
      <c r="B78" s="187" t="s">
        <v>108</v>
      </c>
      <c r="C78" s="188" t="s">
        <v>55</v>
      </c>
      <c r="D78" s="189">
        <v>1</v>
      </c>
      <c r="E78" s="190"/>
      <c r="G78" s="107">
        <v>0</v>
      </c>
      <c r="H78" s="99">
        <v>0</v>
      </c>
      <c r="I78" s="68">
        <f t="shared" si="11"/>
        <v>0</v>
      </c>
      <c r="J78" s="191">
        <v>0</v>
      </c>
      <c r="K78" s="191">
        <v>0</v>
      </c>
      <c r="L78" s="192">
        <f t="shared" si="12"/>
        <v>0</v>
      </c>
      <c r="M78" s="12" t="str">
        <f t="shared" si="13"/>
        <v>N/A</v>
      </c>
      <c r="N78" s="193">
        <v>0</v>
      </c>
    </row>
    <row r="79" spans="1:14" hidden="1" outlineLevel="1" x14ac:dyDescent="0.2">
      <c r="A79" s="186" t="s">
        <v>109</v>
      </c>
      <c r="B79" s="187" t="s">
        <v>110</v>
      </c>
      <c r="C79" s="188" t="s">
        <v>55</v>
      </c>
      <c r="D79" s="189">
        <v>1</v>
      </c>
      <c r="E79" s="190"/>
      <c r="G79" s="107">
        <v>51764.959999999999</v>
      </c>
      <c r="H79" s="99">
        <v>6424.52</v>
      </c>
      <c r="I79" s="68">
        <f t="shared" si="11"/>
        <v>45340.44</v>
      </c>
      <c r="J79" s="191">
        <v>6424.52</v>
      </c>
      <c r="K79" s="191">
        <v>0</v>
      </c>
      <c r="L79" s="192">
        <f t="shared" si="12"/>
        <v>6424.52</v>
      </c>
      <c r="M79" s="12">
        <f t="shared" si="13"/>
        <v>1</v>
      </c>
      <c r="N79" s="193">
        <v>51764.959999999999</v>
      </c>
    </row>
    <row r="80" spans="1:14" hidden="1" outlineLevel="1" x14ac:dyDescent="0.2">
      <c r="A80" s="186" t="s">
        <v>95</v>
      </c>
      <c r="B80" s="187" t="s">
        <v>111</v>
      </c>
      <c r="C80" s="188" t="s">
        <v>55</v>
      </c>
      <c r="D80" s="189">
        <v>1</v>
      </c>
      <c r="E80" s="190"/>
      <c r="G80" s="107">
        <v>3500</v>
      </c>
      <c r="H80" s="99">
        <v>3290.97</v>
      </c>
      <c r="I80" s="68">
        <f t="shared" si="11"/>
        <v>209.0300000000002</v>
      </c>
      <c r="J80" s="191">
        <v>3290.97</v>
      </c>
      <c r="K80" s="191">
        <v>0</v>
      </c>
      <c r="L80" s="192">
        <f t="shared" si="12"/>
        <v>3290.97</v>
      </c>
      <c r="M80" s="12">
        <f t="shared" si="13"/>
        <v>1</v>
      </c>
      <c r="N80" s="193">
        <v>3500</v>
      </c>
    </row>
    <row r="81" spans="1:14" hidden="1" outlineLevel="1" x14ac:dyDescent="0.2">
      <c r="A81" s="186" t="s">
        <v>112</v>
      </c>
      <c r="B81" s="187" t="s">
        <v>113</v>
      </c>
      <c r="C81" s="188" t="s">
        <v>55</v>
      </c>
      <c r="D81" s="189">
        <v>1</v>
      </c>
      <c r="E81" s="190"/>
      <c r="G81" s="107">
        <v>5326</v>
      </c>
      <c r="H81" s="99">
        <v>2671.89</v>
      </c>
      <c r="I81" s="68">
        <f t="shared" si="11"/>
        <v>2654.11</v>
      </c>
      <c r="J81" s="191">
        <v>0</v>
      </c>
      <c r="K81" s="191">
        <v>2671.89</v>
      </c>
      <c r="L81" s="192">
        <f t="shared" ref="L81:L83" si="20">SUM(J81:K81)</f>
        <v>2671.89</v>
      </c>
      <c r="M81" s="12">
        <f t="shared" ref="M81:M83" si="21">IFERROR(L81/H81,"N/A")</f>
        <v>1</v>
      </c>
      <c r="N81" s="193">
        <v>5326</v>
      </c>
    </row>
    <row r="82" spans="1:14" hidden="1" outlineLevel="1" x14ac:dyDescent="0.2">
      <c r="A82" s="186" t="s">
        <v>114</v>
      </c>
      <c r="B82" s="187" t="s">
        <v>111</v>
      </c>
      <c r="C82" s="194" t="s">
        <v>55</v>
      </c>
      <c r="D82" s="195">
        <v>1</v>
      </c>
      <c r="E82" s="196"/>
      <c r="G82" s="107">
        <v>18303.98</v>
      </c>
      <c r="H82" s="99">
        <v>0</v>
      </c>
      <c r="I82" s="68">
        <f t="shared" si="11"/>
        <v>18303.98</v>
      </c>
      <c r="J82" s="191">
        <v>0</v>
      </c>
      <c r="K82" s="191"/>
      <c r="L82" s="192">
        <f t="shared" si="20"/>
        <v>0</v>
      </c>
      <c r="M82" s="12" t="str">
        <f t="shared" si="21"/>
        <v>N/A</v>
      </c>
      <c r="N82" s="193">
        <v>18303.98</v>
      </c>
    </row>
    <row r="83" spans="1:14" hidden="1" outlineLevel="1" x14ac:dyDescent="0.2">
      <c r="A83" s="186" t="s">
        <v>115</v>
      </c>
      <c r="B83" s="187" t="s">
        <v>97</v>
      </c>
      <c r="C83" s="194" t="s">
        <v>55</v>
      </c>
      <c r="D83" s="195">
        <v>1</v>
      </c>
      <c r="E83" s="196"/>
      <c r="G83" s="107">
        <v>46966.400000000001</v>
      </c>
      <c r="H83" s="99">
        <v>9024.31</v>
      </c>
      <c r="I83" s="68">
        <f t="shared" si="11"/>
        <v>37942.090000000004</v>
      </c>
      <c r="J83" s="191">
        <v>216.77</v>
      </c>
      <c r="K83" s="191">
        <v>8807.36</v>
      </c>
      <c r="L83" s="192">
        <f t="shared" si="20"/>
        <v>9024.130000000001</v>
      </c>
      <c r="M83" s="12">
        <f t="shared" si="21"/>
        <v>0.99998005387669542</v>
      </c>
      <c r="N83" s="193">
        <v>46966.400000000001</v>
      </c>
    </row>
    <row r="84" spans="1:14" hidden="1" outlineLevel="1" x14ac:dyDescent="0.2">
      <c r="A84" s="186" t="s">
        <v>116</v>
      </c>
      <c r="B84" s="187" t="s">
        <v>117</v>
      </c>
      <c r="C84" s="188" t="s">
        <v>55</v>
      </c>
      <c r="D84" s="189">
        <v>1</v>
      </c>
      <c r="E84" s="190"/>
      <c r="G84" s="107">
        <v>19501</v>
      </c>
      <c r="H84" s="99">
        <v>0</v>
      </c>
      <c r="I84" s="68">
        <f t="shared" si="11"/>
        <v>19501</v>
      </c>
      <c r="J84" s="191">
        <v>0</v>
      </c>
      <c r="K84" s="191">
        <v>0</v>
      </c>
      <c r="L84" s="201">
        <f t="shared" si="12"/>
        <v>0</v>
      </c>
      <c r="M84" s="12" t="str">
        <f t="shared" si="13"/>
        <v>N/A</v>
      </c>
      <c r="N84" s="193">
        <v>19501</v>
      </c>
    </row>
    <row r="85" spans="1:14" hidden="1" outlineLevel="1" x14ac:dyDescent="0.2">
      <c r="A85" s="186" t="s">
        <v>118</v>
      </c>
      <c r="B85" s="187" t="s">
        <v>119</v>
      </c>
      <c r="C85" s="194" t="s">
        <v>55</v>
      </c>
      <c r="D85" s="195">
        <v>1</v>
      </c>
      <c r="E85" s="196"/>
      <c r="G85" s="107">
        <v>43264</v>
      </c>
      <c r="H85" s="99">
        <v>0</v>
      </c>
      <c r="I85" s="68">
        <f t="shared" si="11"/>
        <v>43264</v>
      </c>
      <c r="J85" s="191">
        <v>0</v>
      </c>
      <c r="K85" s="191">
        <v>0</v>
      </c>
      <c r="L85" s="201">
        <f t="shared" si="12"/>
        <v>0</v>
      </c>
      <c r="M85" s="12" t="str">
        <f t="shared" si="13"/>
        <v>N/A</v>
      </c>
      <c r="N85" s="193">
        <v>43264</v>
      </c>
    </row>
    <row r="86" spans="1:14" hidden="1" outlineLevel="1" x14ac:dyDescent="0.2">
      <c r="A86" s="186" t="s">
        <v>120</v>
      </c>
      <c r="B86" s="187" t="s">
        <v>121</v>
      </c>
      <c r="C86" s="194" t="s">
        <v>55</v>
      </c>
      <c r="D86" s="195">
        <v>1</v>
      </c>
      <c r="E86" s="196"/>
      <c r="G86" s="107">
        <v>28080</v>
      </c>
      <c r="H86" s="99">
        <v>0</v>
      </c>
      <c r="I86" s="68">
        <f t="shared" si="11"/>
        <v>28080</v>
      </c>
      <c r="J86" s="191">
        <v>0</v>
      </c>
      <c r="K86" s="191">
        <v>0</v>
      </c>
      <c r="L86" s="201">
        <f t="shared" si="12"/>
        <v>0</v>
      </c>
      <c r="M86" s="12" t="str">
        <f t="shared" si="13"/>
        <v>N/A</v>
      </c>
      <c r="N86" s="193">
        <v>28080</v>
      </c>
    </row>
    <row r="87" spans="1:14" hidden="1" outlineLevel="1" x14ac:dyDescent="0.2">
      <c r="A87" s="186" t="s">
        <v>122</v>
      </c>
      <c r="B87" s="187" t="s">
        <v>123</v>
      </c>
      <c r="C87" s="194" t="s">
        <v>55</v>
      </c>
      <c r="D87" s="195">
        <v>1</v>
      </c>
      <c r="E87" s="196"/>
      <c r="G87" s="107">
        <v>16710.72</v>
      </c>
      <c r="H87" s="99">
        <v>0</v>
      </c>
      <c r="I87" s="68">
        <f t="shared" si="11"/>
        <v>16710.72</v>
      </c>
      <c r="J87" s="191">
        <v>0</v>
      </c>
      <c r="K87" s="191">
        <v>0</v>
      </c>
      <c r="L87" s="201">
        <f t="shared" si="12"/>
        <v>0</v>
      </c>
      <c r="M87" s="12" t="str">
        <f t="shared" si="13"/>
        <v>N/A</v>
      </c>
      <c r="N87" s="193">
        <v>16710.72</v>
      </c>
    </row>
    <row r="88" spans="1:14" hidden="1" outlineLevel="1" x14ac:dyDescent="0.2">
      <c r="A88" s="186" t="s">
        <v>124</v>
      </c>
      <c r="B88" s="187" t="s">
        <v>125</v>
      </c>
      <c r="C88" s="194" t="s">
        <v>55</v>
      </c>
      <c r="D88" s="195">
        <v>1</v>
      </c>
      <c r="E88" s="196"/>
      <c r="G88" s="107">
        <v>8916.7103999999999</v>
      </c>
      <c r="H88" s="99">
        <v>0</v>
      </c>
      <c r="I88" s="68">
        <f t="shared" si="11"/>
        <v>8916.7103999999999</v>
      </c>
      <c r="J88" s="191">
        <v>0</v>
      </c>
      <c r="K88" s="191">
        <v>0</v>
      </c>
      <c r="L88" s="201">
        <f t="shared" si="12"/>
        <v>0</v>
      </c>
      <c r="M88" s="12" t="str">
        <f t="shared" si="13"/>
        <v>N/A</v>
      </c>
      <c r="N88" s="193">
        <v>8916.7099999999991</v>
      </c>
    </row>
    <row r="89" spans="1:14" hidden="1" outlineLevel="1" x14ac:dyDescent="0.2">
      <c r="A89" s="186" t="s">
        <v>126</v>
      </c>
      <c r="B89" s="187" t="s">
        <v>127</v>
      </c>
      <c r="C89" s="194" t="s">
        <v>55</v>
      </c>
      <c r="D89" s="195">
        <v>1</v>
      </c>
      <c r="E89" s="196"/>
      <c r="G89" s="107">
        <v>27688.959999999999</v>
      </c>
      <c r="H89" s="99">
        <v>0</v>
      </c>
      <c r="I89" s="68">
        <f t="shared" si="11"/>
        <v>27688.959999999999</v>
      </c>
      <c r="J89" s="191">
        <v>0</v>
      </c>
      <c r="K89" s="191">
        <v>0</v>
      </c>
      <c r="L89" s="201">
        <f t="shared" si="12"/>
        <v>0</v>
      </c>
      <c r="M89" s="12" t="str">
        <f t="shared" si="13"/>
        <v>N/A</v>
      </c>
      <c r="N89" s="193">
        <v>27688.959999999999</v>
      </c>
    </row>
    <row r="90" spans="1:14" hidden="1" outlineLevel="1" x14ac:dyDescent="0.2">
      <c r="A90" s="186" t="s">
        <v>128</v>
      </c>
      <c r="B90" s="187" t="s">
        <v>125</v>
      </c>
      <c r="C90" s="194" t="s">
        <v>55</v>
      </c>
      <c r="D90" s="195">
        <v>1</v>
      </c>
      <c r="E90" s="196"/>
      <c r="G90" s="107">
        <v>9142.5484799999995</v>
      </c>
      <c r="H90" s="99">
        <v>0</v>
      </c>
      <c r="I90" s="68">
        <f t="shared" si="11"/>
        <v>9142.5484799999995</v>
      </c>
      <c r="J90" s="191">
        <v>0</v>
      </c>
      <c r="K90" s="191">
        <v>0</v>
      </c>
      <c r="L90" s="201">
        <f t="shared" si="12"/>
        <v>0</v>
      </c>
      <c r="M90" s="12" t="str">
        <f t="shared" si="13"/>
        <v>N/A</v>
      </c>
      <c r="N90" s="193">
        <v>9142.5499999999993</v>
      </c>
    </row>
    <row r="91" spans="1:14" hidden="1" outlineLevel="1" x14ac:dyDescent="0.2">
      <c r="A91" s="186" t="s">
        <v>129</v>
      </c>
      <c r="B91" s="187" t="s">
        <v>130</v>
      </c>
      <c r="C91" s="194" t="s">
        <v>54</v>
      </c>
      <c r="D91" s="195">
        <v>1</v>
      </c>
      <c r="E91" s="196"/>
      <c r="G91" s="107">
        <v>31980</v>
      </c>
      <c r="H91" s="99">
        <v>0</v>
      </c>
      <c r="I91" s="68">
        <f t="shared" si="11"/>
        <v>31980</v>
      </c>
      <c r="J91" s="191">
        <v>0</v>
      </c>
      <c r="K91" s="191">
        <v>0</v>
      </c>
      <c r="L91" s="201">
        <f t="shared" si="12"/>
        <v>0</v>
      </c>
      <c r="M91" s="12" t="str">
        <f t="shared" si="13"/>
        <v>N/A</v>
      </c>
      <c r="N91" s="193">
        <v>31980</v>
      </c>
    </row>
    <row r="92" spans="1:14" hidden="1" outlineLevel="1" x14ac:dyDescent="0.2">
      <c r="A92" s="186" t="s">
        <v>131</v>
      </c>
      <c r="B92" s="187" t="s">
        <v>132</v>
      </c>
      <c r="C92" s="194" t="s">
        <v>55</v>
      </c>
      <c r="D92" s="195">
        <v>1</v>
      </c>
      <c r="E92" s="196"/>
      <c r="G92" s="107">
        <v>11250</v>
      </c>
      <c r="H92" s="99">
        <v>0</v>
      </c>
      <c r="I92" s="68">
        <f t="shared" si="11"/>
        <v>11250</v>
      </c>
      <c r="J92" s="191">
        <v>0</v>
      </c>
      <c r="K92" s="191">
        <v>0</v>
      </c>
      <c r="L92" s="201">
        <f t="shared" si="12"/>
        <v>0</v>
      </c>
      <c r="M92" s="12" t="str">
        <f t="shared" si="13"/>
        <v>N/A</v>
      </c>
      <c r="N92" s="193">
        <v>11250</v>
      </c>
    </row>
    <row r="93" spans="1:14" hidden="1" outlineLevel="1" x14ac:dyDescent="0.2">
      <c r="A93" s="186" t="s">
        <v>133</v>
      </c>
      <c r="B93" s="187" t="s">
        <v>132</v>
      </c>
      <c r="C93" s="194" t="s">
        <v>55</v>
      </c>
      <c r="D93" s="195">
        <v>1</v>
      </c>
      <c r="E93" s="196"/>
      <c r="G93" s="107">
        <v>11700</v>
      </c>
      <c r="H93" s="99">
        <v>0</v>
      </c>
      <c r="I93" s="68">
        <f t="shared" si="11"/>
        <v>11700</v>
      </c>
      <c r="J93" s="191">
        <v>0</v>
      </c>
      <c r="K93" s="191">
        <v>0</v>
      </c>
      <c r="L93" s="201">
        <f t="shared" si="12"/>
        <v>0</v>
      </c>
      <c r="M93" s="12" t="str">
        <f t="shared" si="13"/>
        <v>N/A</v>
      </c>
      <c r="N93" s="193">
        <v>11700</v>
      </c>
    </row>
    <row r="94" spans="1:14" hidden="1" outlineLevel="1" x14ac:dyDescent="0.2">
      <c r="A94" s="186" t="s">
        <v>134</v>
      </c>
      <c r="B94" s="187" t="s">
        <v>135</v>
      </c>
      <c r="C94" s="194" t="s">
        <v>55</v>
      </c>
      <c r="D94" s="195">
        <v>1</v>
      </c>
      <c r="E94" s="196"/>
      <c r="G94" s="107">
        <v>9750.6239999999998</v>
      </c>
      <c r="H94" s="99">
        <v>0</v>
      </c>
      <c r="I94" s="68">
        <f t="shared" si="11"/>
        <v>9750.6239999999998</v>
      </c>
      <c r="J94" s="191">
        <v>0</v>
      </c>
      <c r="K94" s="191">
        <v>0</v>
      </c>
      <c r="L94" s="201">
        <f t="shared" si="12"/>
        <v>0</v>
      </c>
      <c r="M94" s="12" t="str">
        <f t="shared" si="13"/>
        <v>N/A</v>
      </c>
      <c r="N94" s="193">
        <v>9750.6200000000008</v>
      </c>
    </row>
    <row r="95" spans="1:14" hidden="1" outlineLevel="1" x14ac:dyDescent="0.2">
      <c r="A95" s="186" t="s">
        <v>136</v>
      </c>
      <c r="B95" s="187" t="s">
        <v>137</v>
      </c>
      <c r="C95" s="188" t="s">
        <v>55</v>
      </c>
      <c r="D95" s="189">
        <v>1</v>
      </c>
      <c r="E95" s="190"/>
      <c r="G95" s="107">
        <v>11250</v>
      </c>
      <c r="H95" s="99">
        <v>0</v>
      </c>
      <c r="I95" s="68">
        <f t="shared" si="11"/>
        <v>11250</v>
      </c>
      <c r="J95" s="191">
        <v>0</v>
      </c>
      <c r="K95" s="191">
        <v>0</v>
      </c>
      <c r="L95" s="201">
        <f t="shared" si="12"/>
        <v>0</v>
      </c>
      <c r="M95" s="12" t="str">
        <f t="shared" si="13"/>
        <v>N/A</v>
      </c>
      <c r="N95" s="193">
        <v>11250</v>
      </c>
    </row>
    <row r="96" spans="1:14" hidden="1" outlineLevel="1" x14ac:dyDescent="0.2">
      <c r="A96" s="186" t="s">
        <v>138</v>
      </c>
      <c r="B96" s="187" t="s">
        <v>139</v>
      </c>
      <c r="C96" s="188" t="s">
        <v>54</v>
      </c>
      <c r="D96" s="189">
        <v>1</v>
      </c>
      <c r="E96" s="190"/>
      <c r="G96" s="107">
        <v>14040</v>
      </c>
      <c r="H96" s="99">
        <v>0</v>
      </c>
      <c r="I96" s="68">
        <f t="shared" si="11"/>
        <v>14040</v>
      </c>
      <c r="J96" s="191">
        <v>0</v>
      </c>
      <c r="K96" s="191">
        <v>0</v>
      </c>
      <c r="L96" s="201">
        <f t="shared" si="12"/>
        <v>0</v>
      </c>
      <c r="M96" s="12" t="str">
        <f t="shared" si="13"/>
        <v>N/A</v>
      </c>
      <c r="N96" s="193">
        <v>14040</v>
      </c>
    </row>
    <row r="97" spans="1:14" hidden="1" outlineLevel="1" x14ac:dyDescent="0.2">
      <c r="A97" s="186" t="s">
        <v>140</v>
      </c>
      <c r="B97" s="187" t="s">
        <v>141</v>
      </c>
      <c r="C97" s="188" t="s">
        <v>55</v>
      </c>
      <c r="D97" s="189">
        <v>1</v>
      </c>
      <c r="E97" s="190"/>
      <c r="G97" s="107">
        <v>7024.9920000000002</v>
      </c>
      <c r="H97" s="99">
        <v>0</v>
      </c>
      <c r="I97" s="68">
        <f t="shared" si="11"/>
        <v>7024.9920000000002</v>
      </c>
      <c r="J97" s="191">
        <v>0</v>
      </c>
      <c r="K97" s="191">
        <v>0</v>
      </c>
      <c r="L97" s="201">
        <f t="shared" si="12"/>
        <v>0</v>
      </c>
      <c r="M97" s="12" t="str">
        <f t="shared" si="13"/>
        <v>N/A</v>
      </c>
      <c r="N97" s="193">
        <v>7024.99</v>
      </c>
    </row>
    <row r="98" spans="1:14" hidden="1" outlineLevel="1" x14ac:dyDescent="0.2">
      <c r="A98" s="186" t="s">
        <v>142</v>
      </c>
      <c r="B98" s="187" t="s">
        <v>141</v>
      </c>
      <c r="C98" s="188" t="s">
        <v>55</v>
      </c>
      <c r="D98" s="189">
        <v>1</v>
      </c>
      <c r="E98" s="190"/>
      <c r="G98" s="107">
        <v>7654.4831999999997</v>
      </c>
      <c r="H98" s="99">
        <v>0</v>
      </c>
      <c r="I98" s="68">
        <f t="shared" si="11"/>
        <v>7654.4831999999997</v>
      </c>
      <c r="J98" s="191">
        <v>0</v>
      </c>
      <c r="K98" s="191">
        <v>0</v>
      </c>
      <c r="L98" s="201">
        <f t="shared" si="12"/>
        <v>0</v>
      </c>
      <c r="M98" s="12" t="str">
        <f t="shared" si="13"/>
        <v>N/A</v>
      </c>
      <c r="N98" s="193">
        <v>7654.48</v>
      </c>
    </row>
    <row r="99" spans="1:14" hidden="1" outlineLevel="1" x14ac:dyDescent="0.2">
      <c r="A99" s="186" t="s">
        <v>143</v>
      </c>
      <c r="B99" s="187" t="s">
        <v>141</v>
      </c>
      <c r="C99" s="188" t="s">
        <v>55</v>
      </c>
      <c r="D99" s="189">
        <v>1</v>
      </c>
      <c r="E99" s="190"/>
      <c r="G99" s="107">
        <v>7219.68</v>
      </c>
      <c r="H99" s="99">
        <v>0</v>
      </c>
      <c r="I99" s="68">
        <f t="shared" si="11"/>
        <v>7219.68</v>
      </c>
      <c r="J99" s="191">
        <v>0</v>
      </c>
      <c r="K99" s="191">
        <v>0</v>
      </c>
      <c r="L99" s="201">
        <f t="shared" si="12"/>
        <v>0</v>
      </c>
      <c r="M99" s="12" t="str">
        <f t="shared" si="13"/>
        <v>N/A</v>
      </c>
      <c r="N99" s="193">
        <v>7219.68</v>
      </c>
    </row>
    <row r="100" spans="1:14" hidden="1" outlineLevel="1" x14ac:dyDescent="0.2">
      <c r="A100" s="186" t="s">
        <v>144</v>
      </c>
      <c r="B100" s="187" t="s">
        <v>141</v>
      </c>
      <c r="C100" s="188" t="s">
        <v>55</v>
      </c>
      <c r="D100" s="189">
        <v>1</v>
      </c>
      <c r="E100" s="190"/>
      <c r="G100" s="107">
        <v>7360</v>
      </c>
      <c r="H100" s="99">
        <v>0</v>
      </c>
      <c r="I100" s="68">
        <f t="shared" si="11"/>
        <v>7360</v>
      </c>
      <c r="J100" s="191">
        <v>0</v>
      </c>
      <c r="K100" s="191">
        <v>0</v>
      </c>
      <c r="L100" s="201">
        <f t="shared" si="12"/>
        <v>0</v>
      </c>
      <c r="M100" s="12" t="str">
        <f t="shared" si="13"/>
        <v>N/A</v>
      </c>
      <c r="N100" s="193">
        <v>7360</v>
      </c>
    </row>
    <row r="101" spans="1:14" hidden="1" outlineLevel="1" x14ac:dyDescent="0.2">
      <c r="A101" s="186" t="s">
        <v>145</v>
      </c>
      <c r="B101" s="187" t="s">
        <v>141</v>
      </c>
      <c r="C101" s="188" t="s">
        <v>55</v>
      </c>
      <c r="D101" s="189">
        <v>1</v>
      </c>
      <c r="E101" s="190"/>
      <c r="G101" s="107">
        <v>7411.1232</v>
      </c>
      <c r="H101" s="99">
        <v>0</v>
      </c>
      <c r="I101" s="68">
        <f t="shared" si="11"/>
        <v>7411.1232</v>
      </c>
      <c r="J101" s="191">
        <v>0</v>
      </c>
      <c r="K101" s="191">
        <v>0</v>
      </c>
      <c r="L101" s="201">
        <f t="shared" si="12"/>
        <v>0</v>
      </c>
      <c r="M101" s="12" t="str">
        <f t="shared" si="13"/>
        <v>N/A</v>
      </c>
      <c r="N101" s="193">
        <v>7411.12</v>
      </c>
    </row>
    <row r="102" spans="1:14" hidden="1" outlineLevel="1" x14ac:dyDescent="0.2">
      <c r="A102" s="186" t="s">
        <v>146</v>
      </c>
      <c r="B102" s="187" t="s">
        <v>141</v>
      </c>
      <c r="C102" s="188" t="s">
        <v>55</v>
      </c>
      <c r="D102" s="189" t="s">
        <v>147</v>
      </c>
      <c r="E102" s="190"/>
      <c r="G102" s="107">
        <v>7024.9920000000002</v>
      </c>
      <c r="H102" s="99">
        <v>0</v>
      </c>
      <c r="I102" s="68">
        <f t="shared" si="11"/>
        <v>7024.9920000000002</v>
      </c>
      <c r="J102" s="191">
        <v>0</v>
      </c>
      <c r="K102" s="191">
        <v>0</v>
      </c>
      <c r="L102" s="201">
        <f t="shared" si="12"/>
        <v>0</v>
      </c>
      <c r="M102" s="12" t="str">
        <f t="shared" si="13"/>
        <v>N/A</v>
      </c>
      <c r="N102" s="193">
        <v>7024.99</v>
      </c>
    </row>
    <row r="103" spans="1:14" hidden="1" outlineLevel="1" x14ac:dyDescent="0.2">
      <c r="A103" s="186" t="s">
        <v>77</v>
      </c>
      <c r="B103" s="187" t="s">
        <v>141</v>
      </c>
      <c r="C103" s="188" t="s">
        <v>55</v>
      </c>
      <c r="D103" s="189">
        <v>1</v>
      </c>
      <c r="E103" s="190"/>
      <c r="G103" s="107">
        <v>6735</v>
      </c>
      <c r="H103" s="99">
        <v>0</v>
      </c>
      <c r="I103" s="68">
        <f t="shared" si="11"/>
        <v>6735</v>
      </c>
      <c r="J103" s="191">
        <v>0</v>
      </c>
      <c r="K103" s="191">
        <v>0</v>
      </c>
      <c r="L103" s="201">
        <f t="shared" si="12"/>
        <v>0</v>
      </c>
      <c r="M103" s="12" t="str">
        <f t="shared" si="13"/>
        <v>N/A</v>
      </c>
      <c r="N103" s="193">
        <v>6735</v>
      </c>
    </row>
    <row r="104" spans="1:14" hidden="1" outlineLevel="1" x14ac:dyDescent="0.2">
      <c r="A104" s="186" t="s">
        <v>148</v>
      </c>
      <c r="B104" s="187" t="s">
        <v>141</v>
      </c>
      <c r="C104" s="188" t="s">
        <v>55</v>
      </c>
      <c r="D104" s="189">
        <v>1</v>
      </c>
      <c r="E104" s="190"/>
      <c r="G104" s="107">
        <v>7024.9920000000002</v>
      </c>
      <c r="H104" s="99">
        <v>0</v>
      </c>
      <c r="I104" s="68">
        <f t="shared" si="11"/>
        <v>7024.9920000000002</v>
      </c>
      <c r="J104" s="191">
        <v>0</v>
      </c>
      <c r="K104" s="191">
        <v>0</v>
      </c>
      <c r="L104" s="201">
        <f t="shared" si="12"/>
        <v>0</v>
      </c>
      <c r="M104" s="12" t="str">
        <f t="shared" si="13"/>
        <v>N/A</v>
      </c>
      <c r="N104" s="193">
        <v>7024.99</v>
      </c>
    </row>
    <row r="105" spans="1:14" hidden="1" outlineLevel="1" x14ac:dyDescent="0.2">
      <c r="A105" s="186" t="s">
        <v>149</v>
      </c>
      <c r="B105" s="187" t="s">
        <v>150</v>
      </c>
      <c r="C105" s="188" t="s">
        <v>55</v>
      </c>
      <c r="D105" s="189">
        <v>1</v>
      </c>
      <c r="E105" s="190"/>
      <c r="G105" s="107">
        <v>6629.7753599999996</v>
      </c>
      <c r="H105" s="99">
        <v>0</v>
      </c>
      <c r="I105" s="68">
        <f t="shared" si="11"/>
        <v>6629.7753599999996</v>
      </c>
      <c r="J105" s="191">
        <v>0</v>
      </c>
      <c r="K105" s="191">
        <v>0</v>
      </c>
      <c r="L105" s="201">
        <f t="shared" si="12"/>
        <v>0</v>
      </c>
      <c r="M105" s="12" t="str">
        <f t="shared" si="13"/>
        <v>N/A</v>
      </c>
      <c r="N105" s="193">
        <v>6629.78</v>
      </c>
    </row>
    <row r="106" spans="1:14" hidden="1" outlineLevel="1" x14ac:dyDescent="0.2">
      <c r="A106" s="186" t="s">
        <v>77</v>
      </c>
      <c r="B106" s="187" t="s">
        <v>151</v>
      </c>
      <c r="C106" s="188" t="s">
        <v>55</v>
      </c>
      <c r="D106" s="189">
        <v>1</v>
      </c>
      <c r="E106" s="190"/>
      <c r="G106" s="107">
        <v>7800</v>
      </c>
      <c r="H106" s="99">
        <v>0</v>
      </c>
      <c r="I106" s="68">
        <f t="shared" si="11"/>
        <v>7800</v>
      </c>
      <c r="J106" s="191">
        <v>0</v>
      </c>
      <c r="K106" s="191">
        <v>0</v>
      </c>
      <c r="L106" s="201">
        <f t="shared" si="12"/>
        <v>0</v>
      </c>
      <c r="M106" s="12" t="str">
        <f t="shared" si="13"/>
        <v>N/A</v>
      </c>
      <c r="N106" s="193">
        <v>7800</v>
      </c>
    </row>
    <row r="107" spans="1:14" hidden="1" outlineLevel="1" x14ac:dyDescent="0.2">
      <c r="A107" s="186" t="s">
        <v>152</v>
      </c>
      <c r="B107" s="187" t="s">
        <v>153</v>
      </c>
      <c r="C107" s="188" t="s">
        <v>55</v>
      </c>
      <c r="D107" s="189">
        <v>1</v>
      </c>
      <c r="E107" s="190"/>
      <c r="G107" s="107">
        <v>6448</v>
      </c>
      <c r="H107" s="99">
        <v>0</v>
      </c>
      <c r="I107" s="68">
        <f t="shared" si="11"/>
        <v>6448</v>
      </c>
      <c r="J107" s="191">
        <v>0</v>
      </c>
      <c r="K107" s="191">
        <v>0</v>
      </c>
      <c r="L107" s="201">
        <f t="shared" si="12"/>
        <v>0</v>
      </c>
      <c r="M107" s="12" t="str">
        <f t="shared" si="13"/>
        <v>N/A</v>
      </c>
      <c r="N107" s="193">
        <v>6448</v>
      </c>
    </row>
    <row r="108" spans="1:14" hidden="1" outlineLevel="1" x14ac:dyDescent="0.2">
      <c r="A108" s="186" t="s">
        <v>154</v>
      </c>
      <c r="B108" s="187" t="s">
        <v>155</v>
      </c>
      <c r="C108" s="188" t="s">
        <v>55</v>
      </c>
      <c r="D108" s="189">
        <v>1</v>
      </c>
      <c r="E108" s="190"/>
      <c r="G108" s="107">
        <v>13875</v>
      </c>
      <c r="H108" s="99">
        <v>0</v>
      </c>
      <c r="I108" s="68">
        <f t="shared" si="11"/>
        <v>13875</v>
      </c>
      <c r="J108" s="191">
        <v>0</v>
      </c>
      <c r="K108" s="191">
        <v>0</v>
      </c>
      <c r="L108" s="201">
        <f t="shared" si="12"/>
        <v>0</v>
      </c>
      <c r="M108" s="12" t="str">
        <f t="shared" si="13"/>
        <v>N/A</v>
      </c>
      <c r="N108" s="193">
        <v>13875</v>
      </c>
    </row>
    <row r="109" spans="1:14" hidden="1" outlineLevel="1" x14ac:dyDescent="0.2">
      <c r="A109" s="186" t="s">
        <v>156</v>
      </c>
      <c r="B109" s="187" t="s">
        <v>157</v>
      </c>
      <c r="C109" s="188" t="s">
        <v>55</v>
      </c>
      <c r="D109" s="189">
        <v>1</v>
      </c>
      <c r="E109" s="190"/>
      <c r="G109" s="107">
        <v>8528</v>
      </c>
      <c r="H109" s="99">
        <v>0</v>
      </c>
      <c r="I109" s="68">
        <f t="shared" si="11"/>
        <v>8528</v>
      </c>
      <c r="J109" s="191">
        <v>0</v>
      </c>
      <c r="K109" s="191">
        <v>0</v>
      </c>
      <c r="L109" s="201">
        <f t="shared" si="12"/>
        <v>0</v>
      </c>
      <c r="M109" s="12" t="str">
        <f t="shared" si="13"/>
        <v>N/A</v>
      </c>
      <c r="N109" s="193">
        <v>8528</v>
      </c>
    </row>
    <row r="110" spans="1:14" hidden="1" outlineLevel="1" x14ac:dyDescent="0.2">
      <c r="A110" s="186" t="s">
        <v>158</v>
      </c>
      <c r="B110" s="187" t="s">
        <v>159</v>
      </c>
      <c r="C110" s="188" t="s">
        <v>55</v>
      </c>
      <c r="D110" s="189">
        <v>1</v>
      </c>
      <c r="E110" s="190"/>
      <c r="G110" s="107">
        <v>6448</v>
      </c>
      <c r="H110" s="99">
        <v>0</v>
      </c>
      <c r="I110" s="68">
        <f t="shared" si="11"/>
        <v>6448</v>
      </c>
      <c r="J110" s="191">
        <v>0</v>
      </c>
      <c r="K110" s="191">
        <v>0</v>
      </c>
      <c r="L110" s="201">
        <f t="shared" si="12"/>
        <v>0</v>
      </c>
      <c r="M110" s="12" t="str">
        <f t="shared" si="13"/>
        <v>N/A</v>
      </c>
      <c r="N110" s="193">
        <v>6448</v>
      </c>
    </row>
    <row r="111" spans="1:14" hidden="1" outlineLevel="1" x14ac:dyDescent="0.2">
      <c r="A111" s="186" t="s">
        <v>160</v>
      </c>
      <c r="B111" s="187" t="s">
        <v>161</v>
      </c>
      <c r="C111" s="188" t="s">
        <v>55</v>
      </c>
      <c r="D111" s="189">
        <v>1</v>
      </c>
      <c r="E111" s="190"/>
      <c r="G111" s="107">
        <v>5408</v>
      </c>
      <c r="H111" s="99">
        <v>0</v>
      </c>
      <c r="I111" s="68">
        <f t="shared" si="11"/>
        <v>5408</v>
      </c>
      <c r="J111" s="191">
        <v>0</v>
      </c>
      <c r="K111" s="191">
        <v>0</v>
      </c>
      <c r="L111" s="201">
        <f t="shared" si="12"/>
        <v>0</v>
      </c>
      <c r="M111" s="12" t="str">
        <f t="shared" si="13"/>
        <v>N/A</v>
      </c>
      <c r="N111" s="193">
        <v>5408</v>
      </c>
    </row>
    <row r="112" spans="1:14" hidden="1" outlineLevel="1" x14ac:dyDescent="0.2">
      <c r="A112" s="186" t="s">
        <v>162</v>
      </c>
      <c r="B112" s="187" t="s">
        <v>163</v>
      </c>
      <c r="C112" s="194" t="s">
        <v>55</v>
      </c>
      <c r="D112" s="195">
        <v>1</v>
      </c>
      <c r="E112" s="196"/>
      <c r="G112" s="107">
        <v>3746.6624000000002</v>
      </c>
      <c r="H112" s="99">
        <v>0</v>
      </c>
      <c r="I112" s="68">
        <f t="shared" si="11"/>
        <v>3746.6624000000002</v>
      </c>
      <c r="J112" s="191">
        <v>0</v>
      </c>
      <c r="K112" s="191">
        <v>0</v>
      </c>
      <c r="L112" s="201">
        <f t="shared" si="12"/>
        <v>0</v>
      </c>
      <c r="M112" s="12" t="str">
        <f t="shared" si="13"/>
        <v>N/A</v>
      </c>
      <c r="N112" s="193">
        <v>3746.66</v>
      </c>
    </row>
    <row r="113" spans="1:14" hidden="1" outlineLevel="1" x14ac:dyDescent="0.2">
      <c r="A113" s="186" t="s">
        <v>164</v>
      </c>
      <c r="B113" s="187" t="s">
        <v>165</v>
      </c>
      <c r="C113" s="194" t="s">
        <v>55</v>
      </c>
      <c r="D113" s="195">
        <v>0.5</v>
      </c>
      <c r="E113" s="196"/>
      <c r="G113" s="107">
        <v>10000</v>
      </c>
      <c r="H113" s="99">
        <v>0</v>
      </c>
      <c r="I113" s="68">
        <f t="shared" si="11"/>
        <v>10000</v>
      </c>
      <c r="J113" s="191">
        <v>0</v>
      </c>
      <c r="K113" s="191">
        <v>0</v>
      </c>
      <c r="L113" s="201">
        <f t="shared" si="12"/>
        <v>0</v>
      </c>
      <c r="M113" s="12" t="str">
        <f t="shared" si="13"/>
        <v>N/A</v>
      </c>
      <c r="N113" s="193">
        <v>10000</v>
      </c>
    </row>
    <row r="114" spans="1:14" hidden="1" outlineLevel="1" x14ac:dyDescent="0.2">
      <c r="A114" s="186" t="s">
        <v>166</v>
      </c>
      <c r="B114" s="187" t="s">
        <v>167</v>
      </c>
      <c r="C114" s="194" t="s">
        <v>55</v>
      </c>
      <c r="D114" s="195">
        <v>1</v>
      </c>
      <c r="E114" s="196"/>
      <c r="G114" s="107">
        <v>16000</v>
      </c>
      <c r="H114" s="99">
        <v>12729.7</v>
      </c>
      <c r="I114" s="68">
        <f t="shared" si="11"/>
        <v>3270.2999999999993</v>
      </c>
      <c r="J114" s="116">
        <v>5079.24</v>
      </c>
      <c r="K114" s="191">
        <f>6476.59+1173.87</f>
        <v>7650.46</v>
      </c>
      <c r="L114" s="201">
        <f t="shared" si="12"/>
        <v>12729.7</v>
      </c>
      <c r="M114" s="12">
        <f t="shared" si="13"/>
        <v>1</v>
      </c>
      <c r="N114" s="193">
        <v>16000</v>
      </c>
    </row>
    <row r="115" spans="1:14" hidden="1" outlineLevel="1" x14ac:dyDescent="0.2">
      <c r="A115" s="186" t="s">
        <v>168</v>
      </c>
      <c r="B115" s="187" t="s">
        <v>169</v>
      </c>
      <c r="C115" s="194" t="s">
        <v>55</v>
      </c>
      <c r="D115" s="195">
        <v>1</v>
      </c>
      <c r="E115" s="196"/>
      <c r="G115" s="107">
        <v>10400</v>
      </c>
      <c r="H115" s="99">
        <v>0</v>
      </c>
      <c r="I115" s="68">
        <f t="shared" si="11"/>
        <v>10400</v>
      </c>
      <c r="J115" s="191">
        <v>0</v>
      </c>
      <c r="K115" s="191">
        <v>0</v>
      </c>
      <c r="L115" s="201">
        <f t="shared" si="12"/>
        <v>0</v>
      </c>
      <c r="M115" s="12" t="str">
        <f t="shared" si="13"/>
        <v>N/A</v>
      </c>
      <c r="N115" s="193">
        <v>10400</v>
      </c>
    </row>
    <row r="116" spans="1:14" hidden="1" outlineLevel="1" x14ac:dyDescent="0.2">
      <c r="A116" s="186" t="s">
        <v>170</v>
      </c>
      <c r="B116" s="187" t="s">
        <v>171</v>
      </c>
      <c r="C116" s="194" t="s">
        <v>54</v>
      </c>
      <c r="D116" s="195">
        <v>1</v>
      </c>
      <c r="E116" s="196"/>
      <c r="G116" s="107">
        <v>19000</v>
      </c>
      <c r="H116" s="99">
        <v>0</v>
      </c>
      <c r="I116" s="68">
        <f t="shared" si="11"/>
        <v>19000</v>
      </c>
      <c r="J116" s="191">
        <v>0</v>
      </c>
      <c r="K116" s="191">
        <v>0</v>
      </c>
      <c r="L116" s="201">
        <f t="shared" si="12"/>
        <v>0</v>
      </c>
      <c r="M116" s="12" t="str">
        <f t="shared" si="13"/>
        <v>N/A</v>
      </c>
      <c r="N116" s="193">
        <v>19000</v>
      </c>
    </row>
    <row r="117" spans="1:14" hidden="1" outlineLevel="1" x14ac:dyDescent="0.2">
      <c r="A117" s="186" t="s">
        <v>172</v>
      </c>
      <c r="B117" s="187" t="s">
        <v>173</v>
      </c>
      <c r="C117" s="194" t="s">
        <v>54</v>
      </c>
      <c r="D117" s="195">
        <v>1</v>
      </c>
      <c r="E117" s="196"/>
      <c r="G117" s="107">
        <v>10400.6656</v>
      </c>
      <c r="H117" s="99">
        <v>0</v>
      </c>
      <c r="I117" s="68">
        <f t="shared" ref="I117:I144" si="22">G117-H117</f>
        <v>10400.6656</v>
      </c>
      <c r="J117" s="191">
        <v>0</v>
      </c>
      <c r="K117" s="191">
        <v>0</v>
      </c>
      <c r="L117" s="201">
        <f t="shared" ref="L117:L130" si="23">SUM(J117:K117)</f>
        <v>0</v>
      </c>
      <c r="M117" s="12" t="str">
        <f t="shared" ref="M117:M150" si="24">IFERROR(L117/H117,"N/A")</f>
        <v>N/A</v>
      </c>
      <c r="N117" s="193">
        <v>10400.67</v>
      </c>
    </row>
    <row r="118" spans="1:14" hidden="1" outlineLevel="1" x14ac:dyDescent="0.2">
      <c r="A118" s="186" t="s">
        <v>174</v>
      </c>
      <c r="B118" s="187" t="s">
        <v>175</v>
      </c>
      <c r="C118" s="194" t="s">
        <v>54</v>
      </c>
      <c r="D118" s="195">
        <v>1</v>
      </c>
      <c r="E118" s="196"/>
      <c r="G118" s="107">
        <v>15142.4</v>
      </c>
      <c r="H118" s="99">
        <v>0</v>
      </c>
      <c r="I118" s="68">
        <f t="shared" si="22"/>
        <v>15142.4</v>
      </c>
      <c r="J118" s="191">
        <v>0</v>
      </c>
      <c r="K118" s="191">
        <v>0</v>
      </c>
      <c r="L118" s="201">
        <f t="shared" si="23"/>
        <v>0</v>
      </c>
      <c r="M118" s="12" t="str">
        <f t="shared" si="24"/>
        <v>N/A</v>
      </c>
      <c r="N118" s="193">
        <v>15142.4</v>
      </c>
    </row>
    <row r="119" spans="1:14" hidden="1" outlineLevel="1" x14ac:dyDescent="0.2">
      <c r="A119" s="186" t="s">
        <v>176</v>
      </c>
      <c r="B119" s="187" t="s">
        <v>177</v>
      </c>
      <c r="C119" s="194" t="s">
        <v>54</v>
      </c>
      <c r="D119" s="195">
        <v>1</v>
      </c>
      <c r="E119" s="196"/>
      <c r="G119" s="107">
        <v>11000</v>
      </c>
      <c r="H119" s="99">
        <v>9346.35</v>
      </c>
      <c r="I119" s="68">
        <f t="shared" si="22"/>
        <v>1653.6499999999996</v>
      </c>
      <c r="J119" s="116">
        <v>3802.77</v>
      </c>
      <c r="K119" s="191">
        <f>4664.73+878.85</f>
        <v>5543.58</v>
      </c>
      <c r="L119" s="201">
        <f t="shared" si="23"/>
        <v>9346.35</v>
      </c>
      <c r="M119" s="12">
        <f t="shared" si="24"/>
        <v>1</v>
      </c>
      <c r="N119" s="193">
        <v>11000</v>
      </c>
    </row>
    <row r="120" spans="1:14" hidden="1" outlineLevel="1" x14ac:dyDescent="0.2">
      <c r="A120" s="186" t="s">
        <v>178</v>
      </c>
      <c r="B120" s="187" t="s">
        <v>179</v>
      </c>
      <c r="C120" s="194" t="s">
        <v>54</v>
      </c>
      <c r="D120" s="195">
        <v>1</v>
      </c>
      <c r="E120" s="196"/>
      <c r="G120" s="107">
        <v>30160</v>
      </c>
      <c r="H120" s="99">
        <v>0</v>
      </c>
      <c r="I120" s="68">
        <f t="shared" si="22"/>
        <v>30160</v>
      </c>
      <c r="J120" s="191">
        <v>0</v>
      </c>
      <c r="K120" s="191">
        <v>0</v>
      </c>
      <c r="L120" s="201">
        <f t="shared" si="23"/>
        <v>0</v>
      </c>
      <c r="M120" s="12" t="str">
        <f t="shared" si="24"/>
        <v>N/A</v>
      </c>
      <c r="N120" s="193">
        <v>30160</v>
      </c>
    </row>
    <row r="121" spans="1:14" hidden="1" outlineLevel="1" x14ac:dyDescent="0.2">
      <c r="A121" s="186" t="s">
        <v>180</v>
      </c>
      <c r="B121" s="187" t="s">
        <v>181</v>
      </c>
      <c r="C121" s="194" t="s">
        <v>54</v>
      </c>
      <c r="D121" s="195">
        <v>1</v>
      </c>
      <c r="E121" s="196"/>
      <c r="G121" s="107">
        <v>16640</v>
      </c>
      <c r="H121" s="99">
        <v>0</v>
      </c>
      <c r="I121" s="68">
        <f t="shared" si="22"/>
        <v>16640</v>
      </c>
      <c r="J121" s="191">
        <v>0</v>
      </c>
      <c r="K121" s="191">
        <v>0</v>
      </c>
      <c r="L121" s="201">
        <f t="shared" si="23"/>
        <v>0</v>
      </c>
      <c r="M121" s="12" t="str">
        <f t="shared" si="24"/>
        <v>N/A</v>
      </c>
      <c r="N121" s="193">
        <v>16640</v>
      </c>
    </row>
    <row r="122" spans="1:14" hidden="1" outlineLevel="1" x14ac:dyDescent="0.2">
      <c r="A122" s="186" t="s">
        <v>182</v>
      </c>
      <c r="B122" s="187" t="s">
        <v>183</v>
      </c>
      <c r="C122" s="188" t="s">
        <v>54</v>
      </c>
      <c r="D122" s="189">
        <v>1</v>
      </c>
      <c r="E122" s="190"/>
      <c r="G122" s="107">
        <v>24960</v>
      </c>
      <c r="H122" s="99">
        <v>0</v>
      </c>
      <c r="I122" s="68">
        <f t="shared" si="22"/>
        <v>24960</v>
      </c>
      <c r="J122" s="191">
        <v>0</v>
      </c>
      <c r="K122" s="191">
        <v>0</v>
      </c>
      <c r="L122" s="201">
        <f t="shared" si="23"/>
        <v>0</v>
      </c>
      <c r="M122" s="12" t="str">
        <f t="shared" si="24"/>
        <v>N/A</v>
      </c>
      <c r="N122" s="193">
        <v>24960</v>
      </c>
    </row>
    <row r="123" spans="1:14" hidden="1" outlineLevel="1" x14ac:dyDescent="0.2">
      <c r="A123" s="186" t="s">
        <v>184</v>
      </c>
      <c r="B123" s="187" t="s">
        <v>185</v>
      </c>
      <c r="C123" s="188" t="s">
        <v>54</v>
      </c>
      <c r="D123" s="189">
        <v>1</v>
      </c>
      <c r="E123" s="190"/>
      <c r="G123" s="107">
        <v>11235.6608</v>
      </c>
      <c r="H123" s="99">
        <v>0</v>
      </c>
      <c r="I123" s="68">
        <f t="shared" si="22"/>
        <v>11235.6608</v>
      </c>
      <c r="J123" s="191">
        <v>0</v>
      </c>
      <c r="K123" s="191">
        <v>0</v>
      </c>
      <c r="L123" s="201">
        <f t="shared" si="23"/>
        <v>0</v>
      </c>
      <c r="M123" s="12" t="str">
        <f t="shared" si="24"/>
        <v>N/A</v>
      </c>
      <c r="N123" s="193">
        <v>11235.66</v>
      </c>
    </row>
    <row r="124" spans="1:14" hidden="1" outlineLevel="1" x14ac:dyDescent="0.2">
      <c r="A124" s="186" t="s">
        <v>186</v>
      </c>
      <c r="B124" s="187" t="s">
        <v>187</v>
      </c>
      <c r="C124" s="188" t="s">
        <v>54</v>
      </c>
      <c r="D124" s="189">
        <v>1</v>
      </c>
      <c r="E124" s="190"/>
      <c r="G124" s="107">
        <v>13520</v>
      </c>
      <c r="H124" s="99">
        <v>0</v>
      </c>
      <c r="I124" s="68">
        <f t="shared" si="22"/>
        <v>13520</v>
      </c>
      <c r="J124" s="191">
        <v>0</v>
      </c>
      <c r="K124" s="191">
        <v>0</v>
      </c>
      <c r="L124" s="201">
        <f t="shared" si="23"/>
        <v>0</v>
      </c>
      <c r="M124" s="12" t="str">
        <f t="shared" si="24"/>
        <v>N/A</v>
      </c>
      <c r="N124" s="193">
        <v>13520</v>
      </c>
    </row>
    <row r="125" spans="1:14" hidden="1" outlineLevel="1" x14ac:dyDescent="0.2">
      <c r="A125" s="186" t="s">
        <v>188</v>
      </c>
      <c r="B125" s="187" t="s">
        <v>173</v>
      </c>
      <c r="C125" s="188" t="s">
        <v>54</v>
      </c>
      <c r="D125" s="189">
        <v>1</v>
      </c>
      <c r="E125" s="190"/>
      <c r="G125" s="107">
        <v>10400.6656</v>
      </c>
      <c r="H125" s="99">
        <v>0</v>
      </c>
      <c r="I125" s="68">
        <f t="shared" si="22"/>
        <v>10400.6656</v>
      </c>
      <c r="J125" s="191">
        <v>0</v>
      </c>
      <c r="K125" s="191">
        <v>0</v>
      </c>
      <c r="L125" s="201">
        <f t="shared" si="23"/>
        <v>0</v>
      </c>
      <c r="M125" s="12" t="str">
        <f t="shared" si="24"/>
        <v>N/A</v>
      </c>
      <c r="N125" s="193">
        <v>10400.67</v>
      </c>
    </row>
    <row r="126" spans="1:14" hidden="1" outlineLevel="1" x14ac:dyDescent="0.2">
      <c r="A126" s="186" t="s">
        <v>189</v>
      </c>
      <c r="B126" s="187" t="s">
        <v>190</v>
      </c>
      <c r="C126" s="188" t="s">
        <v>54</v>
      </c>
      <c r="D126" s="189">
        <v>1</v>
      </c>
      <c r="E126" s="190"/>
      <c r="G126" s="107">
        <v>14560</v>
      </c>
      <c r="H126" s="99">
        <v>0</v>
      </c>
      <c r="I126" s="68">
        <f t="shared" si="22"/>
        <v>14560</v>
      </c>
      <c r="J126" s="191">
        <v>0</v>
      </c>
      <c r="K126" s="191">
        <v>0</v>
      </c>
      <c r="L126" s="201">
        <f t="shared" si="23"/>
        <v>0</v>
      </c>
      <c r="M126" s="12" t="str">
        <f t="shared" si="24"/>
        <v>N/A</v>
      </c>
      <c r="N126" s="193">
        <v>14560</v>
      </c>
    </row>
    <row r="127" spans="1:14" hidden="1" outlineLevel="1" x14ac:dyDescent="0.2">
      <c r="A127" s="186" t="s">
        <v>191</v>
      </c>
      <c r="B127" s="187" t="s">
        <v>192</v>
      </c>
      <c r="C127" s="188" t="s">
        <v>54</v>
      </c>
      <c r="D127" s="189">
        <v>1</v>
      </c>
      <c r="E127" s="190"/>
      <c r="G127" s="107">
        <v>14040</v>
      </c>
      <c r="H127" s="99">
        <v>0</v>
      </c>
      <c r="I127" s="68">
        <f t="shared" si="22"/>
        <v>14040</v>
      </c>
      <c r="J127" s="191">
        <v>0</v>
      </c>
      <c r="K127" s="191">
        <v>0</v>
      </c>
      <c r="L127" s="201">
        <f t="shared" si="23"/>
        <v>0</v>
      </c>
      <c r="M127" s="12" t="str">
        <f t="shared" si="24"/>
        <v>N/A</v>
      </c>
      <c r="N127" s="193">
        <v>14040</v>
      </c>
    </row>
    <row r="128" spans="1:14" hidden="1" outlineLevel="1" x14ac:dyDescent="0.2">
      <c r="A128" s="186" t="s">
        <v>193</v>
      </c>
      <c r="B128" s="187" t="s">
        <v>194</v>
      </c>
      <c r="C128" s="188" t="s">
        <v>54</v>
      </c>
      <c r="D128" s="189">
        <v>1</v>
      </c>
      <c r="E128" s="190"/>
      <c r="G128" s="107">
        <v>20800</v>
      </c>
      <c r="H128" s="99">
        <v>0</v>
      </c>
      <c r="I128" s="68">
        <f t="shared" si="22"/>
        <v>20800</v>
      </c>
      <c r="J128" s="191">
        <v>0</v>
      </c>
      <c r="K128" s="191">
        <v>0</v>
      </c>
      <c r="L128" s="201">
        <f t="shared" si="23"/>
        <v>0</v>
      </c>
      <c r="M128" s="12" t="str">
        <f t="shared" si="24"/>
        <v>N/A</v>
      </c>
      <c r="N128" s="193">
        <v>20800</v>
      </c>
    </row>
    <row r="129" spans="1:14" hidden="1" outlineLevel="1" x14ac:dyDescent="0.2">
      <c r="A129" s="186" t="s">
        <v>195</v>
      </c>
      <c r="B129" s="187" t="s">
        <v>196</v>
      </c>
      <c r="C129" s="188" t="s">
        <v>54</v>
      </c>
      <c r="D129" s="189">
        <v>1</v>
      </c>
      <c r="E129" s="190"/>
      <c r="G129" s="107">
        <v>8399</v>
      </c>
      <c r="H129" s="99">
        <v>0</v>
      </c>
      <c r="I129" s="68">
        <f t="shared" si="22"/>
        <v>8399</v>
      </c>
      <c r="J129" s="191">
        <v>0</v>
      </c>
      <c r="K129" s="191">
        <v>0</v>
      </c>
      <c r="L129" s="201">
        <f t="shared" si="23"/>
        <v>0</v>
      </c>
      <c r="M129" s="12" t="str">
        <f t="shared" si="24"/>
        <v>N/A</v>
      </c>
      <c r="N129" s="193">
        <v>8399</v>
      </c>
    </row>
    <row r="130" spans="1:14" hidden="1" outlineLevel="1" x14ac:dyDescent="0.2">
      <c r="A130" s="186" t="s">
        <v>197</v>
      </c>
      <c r="B130" s="187" t="s">
        <v>198</v>
      </c>
      <c r="C130" s="188" t="s">
        <v>54</v>
      </c>
      <c r="D130" s="189">
        <v>1</v>
      </c>
      <c r="E130" s="190"/>
      <c r="G130" s="107">
        <v>15600</v>
      </c>
      <c r="H130" s="99">
        <v>0</v>
      </c>
      <c r="I130" s="68">
        <f t="shared" si="22"/>
        <v>15600</v>
      </c>
      <c r="J130" s="191">
        <v>0</v>
      </c>
      <c r="K130" s="191">
        <v>0</v>
      </c>
      <c r="L130" s="201">
        <f t="shared" si="23"/>
        <v>0</v>
      </c>
      <c r="M130" s="12" t="str">
        <f t="shared" si="24"/>
        <v>N/A</v>
      </c>
      <c r="N130" s="193">
        <v>15600</v>
      </c>
    </row>
    <row r="131" spans="1:14" hidden="1" outlineLevel="1" x14ac:dyDescent="0.2">
      <c r="A131" s="186" t="s">
        <v>199</v>
      </c>
      <c r="B131" s="187" t="s">
        <v>200</v>
      </c>
      <c r="C131" s="188" t="s">
        <v>54</v>
      </c>
      <c r="D131" s="189">
        <v>1</v>
      </c>
      <c r="E131" s="190"/>
      <c r="G131" s="107">
        <v>9734.4</v>
      </c>
      <c r="H131" s="99">
        <v>0</v>
      </c>
      <c r="I131" s="68">
        <f t="shared" si="22"/>
        <v>9734.4</v>
      </c>
      <c r="J131" s="191">
        <v>0</v>
      </c>
      <c r="K131" s="191">
        <v>0</v>
      </c>
      <c r="L131" s="201">
        <f t="shared" ref="L131:L144" si="25">SUM(J131:K131)</f>
        <v>0</v>
      </c>
      <c r="M131" s="12" t="str">
        <f t="shared" ref="M131:M144" si="26">IFERROR(L131/H131,"N/A")</f>
        <v>N/A</v>
      </c>
      <c r="N131" s="193">
        <v>9734.4</v>
      </c>
    </row>
    <row r="132" spans="1:14" hidden="1" outlineLevel="1" x14ac:dyDescent="0.2">
      <c r="A132" s="186" t="s">
        <v>201</v>
      </c>
      <c r="B132" s="187" t="s">
        <v>202</v>
      </c>
      <c r="C132" s="188" t="s">
        <v>54</v>
      </c>
      <c r="D132" s="189">
        <v>1</v>
      </c>
      <c r="E132" s="190"/>
      <c r="G132" s="107">
        <v>19240</v>
      </c>
      <c r="H132" s="99">
        <v>0</v>
      </c>
      <c r="I132" s="68">
        <f t="shared" si="22"/>
        <v>19240</v>
      </c>
      <c r="J132" s="191">
        <v>0</v>
      </c>
      <c r="K132" s="191">
        <v>0</v>
      </c>
      <c r="L132" s="201">
        <f t="shared" si="25"/>
        <v>0</v>
      </c>
      <c r="M132" s="12" t="str">
        <f t="shared" si="26"/>
        <v>N/A</v>
      </c>
      <c r="N132" s="193">
        <v>19240</v>
      </c>
    </row>
    <row r="133" spans="1:14" hidden="1" outlineLevel="1" x14ac:dyDescent="0.2">
      <c r="A133" s="186" t="s">
        <v>203</v>
      </c>
      <c r="B133" s="187" t="s">
        <v>204</v>
      </c>
      <c r="C133" s="188" t="s">
        <v>54</v>
      </c>
      <c r="D133" s="189">
        <v>1</v>
      </c>
      <c r="E133" s="190"/>
      <c r="G133" s="107">
        <v>13520</v>
      </c>
      <c r="H133" s="99">
        <v>0</v>
      </c>
      <c r="I133" s="68">
        <f t="shared" si="22"/>
        <v>13520</v>
      </c>
      <c r="J133" s="191">
        <v>0</v>
      </c>
      <c r="K133" s="191">
        <v>0</v>
      </c>
      <c r="L133" s="201">
        <f t="shared" si="25"/>
        <v>0</v>
      </c>
      <c r="M133" s="12" t="str">
        <f t="shared" si="26"/>
        <v>N/A</v>
      </c>
      <c r="N133" s="193">
        <v>13520</v>
      </c>
    </row>
    <row r="134" spans="1:14" hidden="1" outlineLevel="1" x14ac:dyDescent="0.2">
      <c r="A134" s="186" t="s">
        <v>77</v>
      </c>
      <c r="B134" s="187" t="s">
        <v>205</v>
      </c>
      <c r="C134" s="188" t="s">
        <v>54</v>
      </c>
      <c r="D134" s="189">
        <v>1</v>
      </c>
      <c r="E134" s="190"/>
      <c r="G134" s="107">
        <v>14560</v>
      </c>
      <c r="H134" s="99">
        <v>0</v>
      </c>
      <c r="I134" s="68">
        <f t="shared" si="22"/>
        <v>14560</v>
      </c>
      <c r="J134" s="191">
        <v>0</v>
      </c>
      <c r="K134" s="191">
        <v>0</v>
      </c>
      <c r="L134" s="201">
        <f t="shared" si="25"/>
        <v>0</v>
      </c>
      <c r="M134" s="12" t="str">
        <f t="shared" si="26"/>
        <v>N/A</v>
      </c>
      <c r="N134" s="193">
        <v>14560</v>
      </c>
    </row>
    <row r="135" spans="1:14" hidden="1" outlineLevel="1" x14ac:dyDescent="0.2">
      <c r="A135" s="186" t="s">
        <v>206</v>
      </c>
      <c r="B135" s="187" t="s">
        <v>207</v>
      </c>
      <c r="C135" s="188" t="s">
        <v>54</v>
      </c>
      <c r="D135" s="189">
        <v>1</v>
      </c>
      <c r="E135" s="190"/>
      <c r="G135" s="107">
        <v>9734.4</v>
      </c>
      <c r="H135" s="99">
        <v>0</v>
      </c>
      <c r="I135" s="68">
        <f t="shared" si="22"/>
        <v>9734.4</v>
      </c>
      <c r="J135" s="191">
        <v>0</v>
      </c>
      <c r="K135" s="191">
        <v>0</v>
      </c>
      <c r="L135" s="201">
        <f t="shared" si="25"/>
        <v>0</v>
      </c>
      <c r="M135" s="12" t="str">
        <f t="shared" si="26"/>
        <v>N/A</v>
      </c>
      <c r="N135" s="193">
        <v>9734</v>
      </c>
    </row>
    <row r="136" spans="1:14" hidden="1" outlineLevel="1" x14ac:dyDescent="0.2">
      <c r="A136" s="186" t="s">
        <v>208</v>
      </c>
      <c r="B136" s="187" t="s">
        <v>209</v>
      </c>
      <c r="C136" s="188" t="s">
        <v>54</v>
      </c>
      <c r="D136" s="189">
        <v>0.5</v>
      </c>
      <c r="E136" s="190"/>
      <c r="G136" s="107">
        <v>17305.599999999999</v>
      </c>
      <c r="H136" s="99">
        <v>0</v>
      </c>
      <c r="I136" s="68">
        <f t="shared" si="22"/>
        <v>17305.599999999999</v>
      </c>
      <c r="J136" s="191">
        <v>0</v>
      </c>
      <c r="K136" s="191">
        <v>0</v>
      </c>
      <c r="L136" s="201">
        <f t="shared" si="25"/>
        <v>0</v>
      </c>
      <c r="M136" s="12" t="str">
        <f t="shared" si="26"/>
        <v>N/A</v>
      </c>
      <c r="N136" s="193">
        <v>17305.599999999999</v>
      </c>
    </row>
    <row r="137" spans="1:14" hidden="1" outlineLevel="1" x14ac:dyDescent="0.2">
      <c r="A137" s="186" t="s">
        <v>77</v>
      </c>
      <c r="B137" s="187" t="s">
        <v>210</v>
      </c>
      <c r="C137" s="188" t="s">
        <v>54</v>
      </c>
      <c r="D137" s="189">
        <v>1</v>
      </c>
      <c r="E137" s="190"/>
      <c r="G137" s="107">
        <v>22280.959999999999</v>
      </c>
      <c r="H137" s="99">
        <v>0</v>
      </c>
      <c r="I137" s="68">
        <f t="shared" si="22"/>
        <v>22280.959999999999</v>
      </c>
      <c r="J137" s="191">
        <v>0</v>
      </c>
      <c r="K137" s="191">
        <v>0</v>
      </c>
      <c r="L137" s="201">
        <f t="shared" si="25"/>
        <v>0</v>
      </c>
      <c r="M137" s="12" t="str">
        <f t="shared" si="26"/>
        <v>N/A</v>
      </c>
      <c r="N137" s="193">
        <v>22280.959999999999</v>
      </c>
    </row>
    <row r="138" spans="1:14" hidden="1" outlineLevel="1" x14ac:dyDescent="0.2">
      <c r="A138" s="186" t="s">
        <v>211</v>
      </c>
      <c r="B138" s="187" t="s">
        <v>212</v>
      </c>
      <c r="C138" s="188" t="s">
        <v>54</v>
      </c>
      <c r="D138" s="189">
        <v>1</v>
      </c>
      <c r="E138" s="190"/>
      <c r="G138" s="107">
        <v>14560</v>
      </c>
      <c r="H138" s="99">
        <v>0</v>
      </c>
      <c r="I138" s="68">
        <f t="shared" si="22"/>
        <v>14560</v>
      </c>
      <c r="J138" s="191">
        <v>0</v>
      </c>
      <c r="K138" s="191">
        <v>0</v>
      </c>
      <c r="L138" s="201">
        <f t="shared" si="25"/>
        <v>0</v>
      </c>
      <c r="M138" s="12" t="str">
        <f t="shared" si="26"/>
        <v>N/A</v>
      </c>
      <c r="N138" s="193">
        <v>14560</v>
      </c>
    </row>
    <row r="139" spans="1:14" hidden="1" outlineLevel="1" x14ac:dyDescent="0.2">
      <c r="A139" s="186" t="s">
        <v>213</v>
      </c>
      <c r="B139" s="187" t="s">
        <v>214</v>
      </c>
      <c r="C139" s="194" t="s">
        <v>54</v>
      </c>
      <c r="D139" s="195">
        <v>1</v>
      </c>
      <c r="E139" s="196"/>
      <c r="G139" s="107">
        <v>7766.2</v>
      </c>
      <c r="H139" s="99">
        <v>0</v>
      </c>
      <c r="I139" s="68">
        <f t="shared" si="22"/>
        <v>7766.2</v>
      </c>
      <c r="J139" s="191">
        <v>0</v>
      </c>
      <c r="K139" s="191">
        <v>0</v>
      </c>
      <c r="L139" s="201">
        <f t="shared" si="25"/>
        <v>0</v>
      </c>
      <c r="M139" s="12" t="str">
        <f t="shared" si="26"/>
        <v>N/A</v>
      </c>
      <c r="N139" s="193">
        <v>7766.2</v>
      </c>
    </row>
    <row r="140" spans="1:14" hidden="1" outlineLevel="1" x14ac:dyDescent="0.2">
      <c r="A140" s="186" t="s">
        <v>215</v>
      </c>
      <c r="B140" s="187" t="s">
        <v>216</v>
      </c>
      <c r="C140" s="194" t="s">
        <v>54</v>
      </c>
      <c r="D140" s="195">
        <v>1</v>
      </c>
      <c r="E140" s="196"/>
      <c r="G140" s="107">
        <v>18000</v>
      </c>
      <c r="H140" s="99">
        <v>0</v>
      </c>
      <c r="I140" s="68">
        <f t="shared" si="22"/>
        <v>18000</v>
      </c>
      <c r="J140" s="191">
        <v>0</v>
      </c>
      <c r="K140" s="191">
        <v>0</v>
      </c>
      <c r="L140" s="201">
        <f t="shared" si="25"/>
        <v>0</v>
      </c>
      <c r="M140" s="12" t="str">
        <f t="shared" si="26"/>
        <v>N/A</v>
      </c>
      <c r="N140" s="193">
        <v>18000</v>
      </c>
    </row>
    <row r="141" spans="1:14" hidden="1" outlineLevel="1" x14ac:dyDescent="0.2">
      <c r="A141" s="186" t="s">
        <v>217</v>
      </c>
      <c r="B141" s="187" t="s">
        <v>200</v>
      </c>
      <c r="C141" s="194" t="s">
        <v>54</v>
      </c>
      <c r="D141" s="195">
        <v>1</v>
      </c>
      <c r="E141" s="196"/>
      <c r="G141" s="107">
        <v>9734.4</v>
      </c>
      <c r="H141" s="99">
        <v>0</v>
      </c>
      <c r="I141" s="68">
        <f t="shared" si="22"/>
        <v>9734.4</v>
      </c>
      <c r="J141" s="191">
        <v>0</v>
      </c>
      <c r="K141" s="191">
        <v>0</v>
      </c>
      <c r="L141" s="201">
        <f t="shared" si="25"/>
        <v>0</v>
      </c>
      <c r="M141" s="12" t="str">
        <f t="shared" si="26"/>
        <v>N/A</v>
      </c>
      <c r="N141" s="193">
        <v>9734.4</v>
      </c>
    </row>
    <row r="142" spans="1:14" hidden="1" outlineLevel="1" x14ac:dyDescent="0.2">
      <c r="A142" s="186" t="s">
        <v>218</v>
      </c>
      <c r="B142" s="187" t="s">
        <v>204</v>
      </c>
      <c r="C142" s="194" t="s">
        <v>54</v>
      </c>
      <c r="D142" s="195">
        <v>1</v>
      </c>
      <c r="E142" s="196"/>
      <c r="G142" s="107">
        <v>13520</v>
      </c>
      <c r="H142" s="99">
        <v>0</v>
      </c>
      <c r="I142" s="68">
        <f t="shared" si="22"/>
        <v>13520</v>
      </c>
      <c r="J142" s="191">
        <v>0</v>
      </c>
      <c r="K142" s="191">
        <v>0</v>
      </c>
      <c r="L142" s="201">
        <f t="shared" si="25"/>
        <v>0</v>
      </c>
      <c r="M142" s="12" t="str">
        <f t="shared" si="26"/>
        <v>N/A</v>
      </c>
      <c r="N142" s="193">
        <v>13520</v>
      </c>
    </row>
    <row r="143" spans="1:14" hidden="1" outlineLevel="1" x14ac:dyDescent="0.2">
      <c r="A143" s="186" t="s">
        <v>219</v>
      </c>
      <c r="B143" s="187" t="s">
        <v>200</v>
      </c>
      <c r="C143" s="194" t="s">
        <v>54</v>
      </c>
      <c r="D143" s="195">
        <v>1</v>
      </c>
      <c r="E143" s="196"/>
      <c r="G143" s="107">
        <v>9734.4</v>
      </c>
      <c r="H143" s="99">
        <v>0</v>
      </c>
      <c r="I143" s="68">
        <f t="shared" si="22"/>
        <v>9734.4</v>
      </c>
      <c r="J143" s="191">
        <v>0</v>
      </c>
      <c r="K143" s="191">
        <v>0</v>
      </c>
      <c r="L143" s="201">
        <f t="shared" si="25"/>
        <v>0</v>
      </c>
      <c r="M143" s="12" t="str">
        <f t="shared" si="26"/>
        <v>N/A</v>
      </c>
      <c r="N143" s="193">
        <v>9734.4</v>
      </c>
    </row>
    <row r="144" spans="1:14" hidden="1" outlineLevel="1" x14ac:dyDescent="0.2">
      <c r="A144" s="186" t="s">
        <v>220</v>
      </c>
      <c r="B144" s="187" t="s">
        <v>221</v>
      </c>
      <c r="C144" s="194" t="s">
        <v>54</v>
      </c>
      <c r="D144" s="195">
        <v>1</v>
      </c>
      <c r="E144" s="196"/>
      <c r="G144" s="107">
        <v>15433.6</v>
      </c>
      <c r="H144" s="99">
        <v>0</v>
      </c>
      <c r="I144" s="68">
        <f t="shared" si="22"/>
        <v>15433.6</v>
      </c>
      <c r="J144" s="191">
        <v>0</v>
      </c>
      <c r="K144" s="191">
        <v>0</v>
      </c>
      <c r="L144" s="201">
        <f t="shared" si="25"/>
        <v>0</v>
      </c>
      <c r="M144" s="12" t="str">
        <f t="shared" si="26"/>
        <v>N/A</v>
      </c>
      <c r="N144" s="193">
        <v>15434</v>
      </c>
    </row>
    <row r="145" spans="1:14" hidden="1" outlineLevel="1" x14ac:dyDescent="0.2">
      <c r="A145" s="186" t="s">
        <v>222</v>
      </c>
      <c r="B145" s="187" t="s">
        <v>221</v>
      </c>
      <c r="C145" s="194" t="s">
        <v>54</v>
      </c>
      <c r="D145" s="195">
        <v>1</v>
      </c>
      <c r="E145" s="196"/>
      <c r="G145" s="107">
        <v>15600</v>
      </c>
      <c r="H145" s="99">
        <v>0</v>
      </c>
      <c r="I145" s="68">
        <f t="shared" ref="I145:I147" si="27">G145-H145</f>
        <v>15600</v>
      </c>
      <c r="J145" s="191">
        <v>0</v>
      </c>
      <c r="K145" s="191">
        <v>0</v>
      </c>
      <c r="L145" s="201">
        <f t="shared" ref="L145:L147" si="28">SUM(J145:K145)</f>
        <v>0</v>
      </c>
      <c r="M145" s="12" t="str">
        <f t="shared" ref="M145:M147" si="29">IFERROR(L145/H145,"N/A")</f>
        <v>N/A</v>
      </c>
      <c r="N145" s="193">
        <v>15600</v>
      </c>
    </row>
    <row r="146" spans="1:14" hidden="1" outlineLevel="1" x14ac:dyDescent="0.2">
      <c r="A146" s="186" t="s">
        <v>223</v>
      </c>
      <c r="B146" s="187" t="s">
        <v>224</v>
      </c>
      <c r="C146" s="194" t="s">
        <v>54</v>
      </c>
      <c r="D146" s="195">
        <v>1</v>
      </c>
      <c r="E146" s="196"/>
      <c r="G146" s="107">
        <v>14040</v>
      </c>
      <c r="H146" s="99">
        <v>0</v>
      </c>
      <c r="I146" s="68">
        <f t="shared" si="27"/>
        <v>14040</v>
      </c>
      <c r="J146" s="191">
        <v>0</v>
      </c>
      <c r="K146" s="191">
        <v>0</v>
      </c>
      <c r="L146" s="201">
        <f t="shared" si="28"/>
        <v>0</v>
      </c>
      <c r="M146" s="12" t="str">
        <f t="shared" si="29"/>
        <v>N/A</v>
      </c>
      <c r="N146" s="193">
        <v>14040</v>
      </c>
    </row>
    <row r="147" spans="1:14" hidden="1" outlineLevel="1" x14ac:dyDescent="0.2">
      <c r="A147" s="186" t="s">
        <v>225</v>
      </c>
      <c r="B147" s="187" t="s">
        <v>226</v>
      </c>
      <c r="C147" s="194" t="s">
        <v>54</v>
      </c>
      <c r="D147" s="195">
        <v>1</v>
      </c>
      <c r="E147" s="196"/>
      <c r="G147" s="107">
        <v>19136</v>
      </c>
      <c r="H147" s="99">
        <v>0</v>
      </c>
      <c r="I147" s="68">
        <f t="shared" si="27"/>
        <v>19136</v>
      </c>
      <c r="J147" s="191">
        <v>0</v>
      </c>
      <c r="K147" s="191">
        <v>0</v>
      </c>
      <c r="L147" s="201">
        <f t="shared" si="28"/>
        <v>0</v>
      </c>
      <c r="M147" s="12" t="str">
        <f t="shared" si="29"/>
        <v>N/A</v>
      </c>
      <c r="N147" s="193">
        <v>19136</v>
      </c>
    </row>
    <row r="148" spans="1:14" collapsed="1" x14ac:dyDescent="0.2">
      <c r="A148" s="186"/>
      <c r="B148" s="187"/>
      <c r="C148" s="194"/>
      <c r="D148" s="195"/>
      <c r="E148" s="196"/>
      <c r="G148" s="99">
        <v>0</v>
      </c>
      <c r="H148" s="99">
        <v>0</v>
      </c>
      <c r="I148" s="68">
        <f t="shared" ref="I148:I149" si="30">G148-H148</f>
        <v>0</v>
      </c>
      <c r="J148" s="191">
        <v>0</v>
      </c>
      <c r="K148" s="191">
        <v>0</v>
      </c>
      <c r="L148" s="201">
        <f t="shared" ref="L148:L149" si="31">SUM(J148:K148)</f>
        <v>0</v>
      </c>
      <c r="M148" s="12" t="str">
        <f t="shared" ref="M148:M149" si="32">IFERROR(L148/H148,"N/A")</f>
        <v>N/A</v>
      </c>
      <c r="N148" s="193">
        <v>0</v>
      </c>
    </row>
    <row r="149" spans="1:14" ht="13.5" thickBot="1" x14ac:dyDescent="0.25">
      <c r="A149" s="202"/>
      <c r="B149" s="203"/>
      <c r="C149" s="204"/>
      <c r="D149" s="205"/>
      <c r="E149" s="206"/>
      <c r="F149" s="207"/>
      <c r="G149" s="122">
        <v>0</v>
      </c>
      <c r="H149" s="122">
        <v>0</v>
      </c>
      <c r="I149" s="123">
        <f t="shared" si="30"/>
        <v>0</v>
      </c>
      <c r="J149" s="208">
        <v>0</v>
      </c>
      <c r="K149" s="208">
        <v>0</v>
      </c>
      <c r="L149" s="209">
        <f t="shared" si="31"/>
        <v>0</v>
      </c>
      <c r="M149" s="124" t="str">
        <f t="shared" si="32"/>
        <v>N/A</v>
      </c>
      <c r="N149" s="210">
        <v>0</v>
      </c>
    </row>
    <row r="150" spans="1:14" x14ac:dyDescent="0.2">
      <c r="A150" s="152"/>
      <c r="B150" s="153"/>
      <c r="C150" s="211" t="s">
        <v>227</v>
      </c>
      <c r="D150" s="212"/>
      <c r="E150" s="212"/>
      <c r="F150" s="153"/>
      <c r="G150" s="125">
        <f>SUM(G48,G58)</f>
        <v>1788783.3291999993</v>
      </c>
      <c r="H150" s="125">
        <f t="shared" ref="H150:L150" si="33">SUM(H48,H58)</f>
        <v>224715.07</v>
      </c>
      <c r="I150" s="125">
        <f t="shared" si="33"/>
        <v>1564068.2591999993</v>
      </c>
      <c r="J150" s="125">
        <f t="shared" si="33"/>
        <v>100576.63</v>
      </c>
      <c r="K150" s="125">
        <f t="shared" si="33"/>
        <v>124138.26</v>
      </c>
      <c r="L150" s="125">
        <f t="shared" si="33"/>
        <v>224714.89</v>
      </c>
      <c r="M150" s="126">
        <f t="shared" si="24"/>
        <v>0.99999919898563105</v>
      </c>
      <c r="N150" s="127">
        <f>SUM(N48,N58)</f>
        <v>192007.69999999998</v>
      </c>
    </row>
    <row r="152" spans="1:14" x14ac:dyDescent="0.2">
      <c r="A152" s="213" t="s">
        <v>228</v>
      </c>
      <c r="B152" s="214"/>
      <c r="C152" s="214"/>
      <c r="D152" s="214"/>
      <c r="E152" s="214"/>
      <c r="F152" s="215"/>
      <c r="G152" s="216"/>
      <c r="H152" s="216"/>
      <c r="I152" s="216"/>
      <c r="J152" s="216"/>
      <c r="K152" s="216"/>
      <c r="L152" s="216"/>
      <c r="M152" s="4"/>
      <c r="N152" s="3"/>
    </row>
    <row r="153" spans="1:14" s="182" customFormat="1" ht="11.25" x14ac:dyDescent="0.2">
      <c r="A153" s="217" t="s">
        <v>229</v>
      </c>
      <c r="B153" s="179"/>
      <c r="C153" s="179"/>
      <c r="D153" s="179"/>
      <c r="E153" s="179"/>
      <c r="F153" s="180"/>
      <c r="G153" s="181"/>
      <c r="H153" s="181"/>
      <c r="I153" s="181"/>
      <c r="J153" s="181"/>
      <c r="K153" s="181"/>
      <c r="L153" s="181"/>
      <c r="M153" s="6"/>
      <c r="N153" s="5"/>
    </row>
    <row r="154" spans="1:14" ht="33.75" x14ac:dyDescent="0.2">
      <c r="A154" s="218" t="s">
        <v>230</v>
      </c>
      <c r="B154" s="219"/>
      <c r="C154" s="220"/>
      <c r="D154" s="220"/>
      <c r="E154" s="220"/>
      <c r="F154" s="220"/>
      <c r="G154" s="185" t="str">
        <f>G$18</f>
        <v>TOTAL
PROGRAM
BUDGET</v>
      </c>
      <c r="H154" s="185" t="str">
        <f t="shared" ref="H154:N154" si="34">H$18</f>
        <v>HSGP GRANT
BUDGET</v>
      </c>
      <c r="I154" s="185" t="str">
        <f t="shared" si="34"/>
        <v>NON-CITY PROGRAM BUDGET</v>
      </c>
      <c r="J154" s="185" t="str">
        <f t="shared" si="34"/>
        <v>HSGP
MID-YEAR EXPEND.</v>
      </c>
      <c r="K154" s="185" t="str">
        <f t="shared" si="34"/>
        <v>HSGP
YEAR-END EXPEND.</v>
      </c>
      <c r="L154" s="185" t="str">
        <f t="shared" si="34"/>
        <v>HSGP TOTAL EXPEND.</v>
      </c>
      <c r="M154" s="18" t="str">
        <f t="shared" si="34"/>
        <v>HSGP PERCENT EXPENDED</v>
      </c>
      <c r="N154" s="93" t="str">
        <f t="shared" si="34"/>
        <v>YEAR-END
 TOTAL PROGRAM EXPEND.</v>
      </c>
    </row>
    <row r="155" spans="1:14" x14ac:dyDescent="0.2">
      <c r="A155" s="221" t="s">
        <v>231</v>
      </c>
      <c r="B155" s="222"/>
      <c r="C155" s="222"/>
      <c r="D155" s="223"/>
      <c r="E155" s="224"/>
      <c r="F155" s="225"/>
      <c r="G155" s="108">
        <v>118230.91202319998</v>
      </c>
      <c r="H155" s="100">
        <v>13141.96</v>
      </c>
      <c r="I155" s="64">
        <f t="shared" ref="I155:I161" si="35">G155-H155</f>
        <v>105088.95202319999</v>
      </c>
      <c r="J155" s="116">
        <v>5960.17</v>
      </c>
      <c r="K155" s="116">
        <v>7181.79</v>
      </c>
      <c r="L155" s="110">
        <f>SUM(J155:K155)</f>
        <v>13141.96</v>
      </c>
      <c r="M155" s="12">
        <f>IFERROR(L155/H155,"N/A")</f>
        <v>1</v>
      </c>
      <c r="N155" s="226">
        <v>118230.91</v>
      </c>
    </row>
    <row r="156" spans="1:14" x14ac:dyDescent="0.2">
      <c r="A156" s="227" t="s">
        <v>232</v>
      </c>
      <c r="B156" s="222"/>
      <c r="C156" s="101"/>
      <c r="D156" s="223"/>
      <c r="E156" s="224"/>
      <c r="F156" s="225"/>
      <c r="G156" s="108">
        <v>101107.81441983998</v>
      </c>
      <c r="H156" s="100">
        <v>4337.1000000000004</v>
      </c>
      <c r="I156" s="68">
        <f t="shared" si="35"/>
        <v>96770.714419839976</v>
      </c>
      <c r="J156" s="116">
        <v>1479</v>
      </c>
      <c r="K156" s="228">
        <v>2857.24</v>
      </c>
      <c r="L156" s="111">
        <f>SUM(J156:K156)</f>
        <v>4336.24</v>
      </c>
      <c r="M156" s="11">
        <f t="shared" ref="M156:M161" si="36">IFERROR(L156/H156,"N/A")</f>
        <v>0.99980171082059432</v>
      </c>
      <c r="N156" s="229">
        <v>101107.81</v>
      </c>
    </row>
    <row r="157" spans="1:14" x14ac:dyDescent="0.2">
      <c r="A157" s="227" t="s">
        <v>233</v>
      </c>
      <c r="B157" s="222"/>
      <c r="C157" s="101"/>
      <c r="D157" s="223"/>
      <c r="E157" s="224"/>
      <c r="F157" s="225"/>
      <c r="G157" s="108">
        <v>1630.7712003199999</v>
      </c>
      <c r="H157" s="100">
        <v>4.3499999999999996</v>
      </c>
      <c r="I157" s="68">
        <f t="shared" si="35"/>
        <v>1626.42120032</v>
      </c>
      <c r="J157" s="116">
        <v>1.44</v>
      </c>
      <c r="K157" s="228">
        <v>2.91</v>
      </c>
      <c r="L157" s="111">
        <f t="shared" ref="L157:L161" si="37">SUM(J157:K157)</f>
        <v>4.3499999999999996</v>
      </c>
      <c r="M157" s="11">
        <f t="shared" si="36"/>
        <v>1</v>
      </c>
      <c r="N157" s="229">
        <v>1630.77</v>
      </c>
    </row>
    <row r="158" spans="1:14" x14ac:dyDescent="0.2">
      <c r="A158" s="227" t="s">
        <v>234</v>
      </c>
      <c r="B158" s="222"/>
      <c r="C158" s="101"/>
      <c r="D158" s="223"/>
      <c r="E158" s="224"/>
      <c r="F158" s="225"/>
      <c r="G158" s="108">
        <v>23320.028164575997</v>
      </c>
      <c r="H158" s="100">
        <v>2600.63</v>
      </c>
      <c r="I158" s="68">
        <f t="shared" si="35"/>
        <v>20719.398164575996</v>
      </c>
      <c r="J158" s="116">
        <v>1130</v>
      </c>
      <c r="K158" s="228">
        <v>1469.84</v>
      </c>
      <c r="L158" s="111">
        <f t="shared" si="37"/>
        <v>2599.84</v>
      </c>
      <c r="M158" s="11">
        <f t="shared" si="36"/>
        <v>0.9996962274525788</v>
      </c>
      <c r="N158" s="229">
        <v>23320.03</v>
      </c>
    </row>
    <row r="159" spans="1:14" x14ac:dyDescent="0.2">
      <c r="A159" s="227" t="s">
        <v>235</v>
      </c>
      <c r="B159" s="222"/>
      <c r="C159" s="101"/>
      <c r="D159" s="223"/>
      <c r="E159" s="224"/>
      <c r="F159" s="225"/>
      <c r="G159" s="108">
        <v>228307.96804479999</v>
      </c>
      <c r="H159" s="100">
        <v>11897.09</v>
      </c>
      <c r="I159" s="68">
        <f t="shared" si="35"/>
        <v>216410.87804479999</v>
      </c>
      <c r="J159" s="116">
        <v>7266.49</v>
      </c>
      <c r="K159" s="228">
        <v>4630.6000000000004</v>
      </c>
      <c r="L159" s="111">
        <f t="shared" si="37"/>
        <v>11897.09</v>
      </c>
      <c r="M159" s="11">
        <f t="shared" si="36"/>
        <v>1</v>
      </c>
      <c r="N159" s="229">
        <v>228307.97</v>
      </c>
    </row>
    <row r="160" spans="1:14" x14ac:dyDescent="0.2">
      <c r="A160" s="230"/>
      <c r="B160" s="222"/>
      <c r="C160" s="101"/>
      <c r="D160" s="223"/>
      <c r="E160" s="224"/>
      <c r="F160" s="225"/>
      <c r="G160" s="100">
        <v>0</v>
      </c>
      <c r="H160" s="100">
        <v>0</v>
      </c>
      <c r="I160" s="68">
        <f t="shared" si="35"/>
        <v>0</v>
      </c>
      <c r="J160" s="191">
        <v>0</v>
      </c>
      <c r="K160" s="231">
        <v>0</v>
      </c>
      <c r="L160" s="68">
        <f t="shared" si="37"/>
        <v>0</v>
      </c>
      <c r="M160" s="11" t="str">
        <f t="shared" si="36"/>
        <v>N/A</v>
      </c>
      <c r="N160" s="229">
        <v>0</v>
      </c>
    </row>
    <row r="161" spans="1:14" x14ac:dyDescent="0.2">
      <c r="A161" s="232"/>
      <c r="B161" s="222"/>
      <c r="C161" s="102"/>
      <c r="D161" s="233"/>
      <c r="E161" s="234"/>
      <c r="F161" s="225"/>
      <c r="G161" s="100">
        <v>0</v>
      </c>
      <c r="H161" s="100">
        <v>0</v>
      </c>
      <c r="I161" s="68">
        <f t="shared" si="35"/>
        <v>0</v>
      </c>
      <c r="J161" s="191">
        <v>0</v>
      </c>
      <c r="K161" s="231">
        <v>0</v>
      </c>
      <c r="L161" s="68">
        <f t="shared" si="37"/>
        <v>0</v>
      </c>
      <c r="M161" s="11" t="str">
        <f t="shared" si="36"/>
        <v>N/A</v>
      </c>
      <c r="N161" s="229">
        <v>0</v>
      </c>
    </row>
    <row r="162" spans="1:14" x14ac:dyDescent="0.2">
      <c r="A162" s="152"/>
      <c r="B162" s="153"/>
      <c r="C162" s="235" t="s">
        <v>236</v>
      </c>
      <c r="D162" s="236"/>
      <c r="E162" s="236"/>
      <c r="F162" s="237"/>
      <c r="G162" s="69">
        <f t="shared" ref="G162:L162" si="38">SUM(G155:G161)</f>
        <v>472597.49385273596</v>
      </c>
      <c r="H162" s="69">
        <f t="shared" si="38"/>
        <v>31981.129999999997</v>
      </c>
      <c r="I162" s="69">
        <f t="shared" si="38"/>
        <v>440616.36385273596</v>
      </c>
      <c r="J162" s="69">
        <f t="shared" si="38"/>
        <v>15837.1</v>
      </c>
      <c r="K162" s="69">
        <f t="shared" si="38"/>
        <v>16142.38</v>
      </c>
      <c r="L162" s="69">
        <f t="shared" si="38"/>
        <v>31979.479999999996</v>
      </c>
      <c r="M162" s="19">
        <f>IFERROR(L162/H162,"N/A")</f>
        <v>0.99994840707629773</v>
      </c>
      <c r="N162" s="70">
        <f>SUM(N155:N161)</f>
        <v>472597.49</v>
      </c>
    </row>
    <row r="164" spans="1:14" s="182" customFormat="1" x14ac:dyDescent="0.2">
      <c r="A164" s="213" t="s">
        <v>237</v>
      </c>
      <c r="B164" s="214"/>
      <c r="C164" s="214"/>
      <c r="D164" s="214"/>
      <c r="E164" s="214"/>
      <c r="F164" s="215"/>
      <c r="G164" s="216"/>
      <c r="H164" s="216"/>
      <c r="I164" s="216"/>
      <c r="J164" s="216"/>
      <c r="K164" s="216"/>
      <c r="L164" s="216"/>
      <c r="M164" s="4"/>
      <c r="N164" s="3"/>
    </row>
    <row r="165" spans="1:14" s="182" customFormat="1" ht="11.25" x14ac:dyDescent="0.2">
      <c r="A165" s="217" t="s">
        <v>238</v>
      </c>
      <c r="B165" s="179"/>
      <c r="C165" s="179"/>
      <c r="D165" s="179"/>
      <c r="E165" s="179"/>
      <c r="F165" s="180"/>
      <c r="G165" s="181"/>
      <c r="H165" s="181"/>
      <c r="I165" s="181"/>
      <c r="J165" s="181"/>
      <c r="K165" s="181"/>
      <c r="L165" s="181"/>
      <c r="M165" s="6"/>
      <c r="N165" s="5"/>
    </row>
    <row r="166" spans="1:14" ht="33.75" x14ac:dyDescent="0.2">
      <c r="A166" s="218" t="s">
        <v>230</v>
      </c>
      <c r="B166" s="219"/>
      <c r="C166" s="220"/>
      <c r="D166" s="220"/>
      <c r="E166" s="220"/>
      <c r="F166" s="220"/>
      <c r="G166" s="185" t="str">
        <f>G$18</f>
        <v>TOTAL
PROGRAM
BUDGET</v>
      </c>
      <c r="H166" s="185" t="str">
        <f t="shared" ref="H166:N166" si="39">H$18</f>
        <v>HSGP GRANT
BUDGET</v>
      </c>
      <c r="I166" s="185" t="str">
        <f t="shared" si="39"/>
        <v>NON-CITY PROGRAM BUDGET</v>
      </c>
      <c r="J166" s="185" t="str">
        <f t="shared" si="39"/>
        <v>HSGP
MID-YEAR EXPEND.</v>
      </c>
      <c r="K166" s="185" t="str">
        <f t="shared" si="39"/>
        <v>HSGP
YEAR-END EXPEND.</v>
      </c>
      <c r="L166" s="185" t="str">
        <f t="shared" si="39"/>
        <v>HSGP TOTAL EXPEND.</v>
      </c>
      <c r="M166" s="18" t="str">
        <f t="shared" si="39"/>
        <v>HSGP PERCENT EXPENDED</v>
      </c>
      <c r="N166" s="93" t="str">
        <f t="shared" si="39"/>
        <v>YEAR-END
 TOTAL PROGRAM EXPEND.</v>
      </c>
    </row>
    <row r="167" spans="1:14" x14ac:dyDescent="0.2">
      <c r="A167" s="238" t="s">
        <v>239</v>
      </c>
      <c r="B167" s="239"/>
      <c r="C167" s="103"/>
      <c r="D167" s="240"/>
      <c r="E167" s="241"/>
      <c r="F167" s="225"/>
      <c r="G167" s="99">
        <v>36960</v>
      </c>
      <c r="H167" s="99">
        <v>0</v>
      </c>
      <c r="I167" s="64">
        <f>G167-H167</f>
        <v>36960</v>
      </c>
      <c r="J167" s="191">
        <v>0</v>
      </c>
      <c r="K167" s="191">
        <v>0</v>
      </c>
      <c r="L167" s="64">
        <f>SUM(J167:K167)</f>
        <v>0</v>
      </c>
      <c r="M167" s="12" t="str">
        <f>IFERROR(L167/H167,"N/A")</f>
        <v>N/A</v>
      </c>
      <c r="N167" s="226">
        <v>36960</v>
      </c>
    </row>
    <row r="168" spans="1:14" x14ac:dyDescent="0.2">
      <c r="A168" s="242" t="s">
        <v>240</v>
      </c>
      <c r="B168" s="239"/>
      <c r="C168" s="103"/>
      <c r="D168" s="240"/>
      <c r="E168" s="241"/>
      <c r="F168" s="225"/>
      <c r="G168" s="99">
        <v>25235</v>
      </c>
      <c r="H168" s="99">
        <v>0</v>
      </c>
      <c r="I168" s="68">
        <f t="shared" ref="I168:I170" si="40">G168-H168</f>
        <v>25235</v>
      </c>
      <c r="J168" s="191">
        <v>0</v>
      </c>
      <c r="K168" s="231">
        <v>0</v>
      </c>
      <c r="L168" s="68">
        <f t="shared" ref="L168:L170" si="41">SUM(J168:K168)</f>
        <v>0</v>
      </c>
      <c r="M168" s="11" t="str">
        <f t="shared" ref="M168:M170" si="42">IFERROR(L168/H168,"N/A")</f>
        <v>N/A</v>
      </c>
      <c r="N168" s="229">
        <v>25235</v>
      </c>
    </row>
    <row r="169" spans="1:14" x14ac:dyDescent="0.2">
      <c r="A169" s="242"/>
      <c r="B169" s="239"/>
      <c r="C169" s="103"/>
      <c r="D169" s="240"/>
      <c r="E169" s="241"/>
      <c r="F169" s="225"/>
      <c r="G169" s="100">
        <v>0</v>
      </c>
      <c r="H169" s="100">
        <v>0</v>
      </c>
      <c r="I169" s="71">
        <f t="shared" si="40"/>
        <v>0</v>
      </c>
      <c r="J169" s="243">
        <v>0</v>
      </c>
      <c r="K169" s="243">
        <v>0</v>
      </c>
      <c r="L169" s="68">
        <f t="shared" si="41"/>
        <v>0</v>
      </c>
      <c r="M169" s="11" t="str">
        <f t="shared" si="42"/>
        <v>N/A</v>
      </c>
      <c r="N169" s="229">
        <v>0</v>
      </c>
    </row>
    <row r="170" spans="1:14" x14ac:dyDescent="0.2">
      <c r="A170" s="242"/>
      <c r="B170" s="239"/>
      <c r="C170" s="103"/>
      <c r="D170" s="240"/>
      <c r="E170" s="241"/>
      <c r="F170" s="225"/>
      <c r="G170" s="100">
        <v>0</v>
      </c>
      <c r="H170" s="100">
        <v>0</v>
      </c>
      <c r="I170" s="71">
        <f t="shared" si="40"/>
        <v>0</v>
      </c>
      <c r="J170" s="243">
        <v>0</v>
      </c>
      <c r="K170" s="243">
        <v>0</v>
      </c>
      <c r="L170" s="68">
        <f t="shared" si="41"/>
        <v>0</v>
      </c>
      <c r="M170" s="11" t="str">
        <f t="shared" si="42"/>
        <v>N/A</v>
      </c>
      <c r="N170" s="229">
        <v>0</v>
      </c>
    </row>
    <row r="171" spans="1:14" x14ac:dyDescent="0.2">
      <c r="A171" s="152"/>
      <c r="B171" s="153"/>
      <c r="C171" s="235" t="s">
        <v>241</v>
      </c>
      <c r="D171" s="236"/>
      <c r="E171" s="236"/>
      <c r="F171" s="237"/>
      <c r="G171" s="69">
        <f t="shared" ref="G171:L171" si="43">SUM(G167:G170)</f>
        <v>62195</v>
      </c>
      <c r="H171" s="69">
        <f t="shared" si="43"/>
        <v>0</v>
      </c>
      <c r="I171" s="69">
        <f t="shared" si="43"/>
        <v>62195</v>
      </c>
      <c r="J171" s="69">
        <f t="shared" si="43"/>
        <v>0</v>
      </c>
      <c r="K171" s="69">
        <f t="shared" si="43"/>
        <v>0</v>
      </c>
      <c r="L171" s="69">
        <f t="shared" si="43"/>
        <v>0</v>
      </c>
      <c r="M171" s="19" t="str">
        <f>IFERROR(L171/H171,"N/A")</f>
        <v>N/A</v>
      </c>
      <c r="N171" s="70">
        <f>SUM(N167:N170)</f>
        <v>62195</v>
      </c>
    </row>
    <row r="173" spans="1:14" s="182" customFormat="1" x14ac:dyDescent="0.2">
      <c r="A173" s="244" t="s">
        <v>242</v>
      </c>
      <c r="B173" s="214"/>
      <c r="C173" s="214"/>
      <c r="D173" s="214"/>
      <c r="E173" s="214"/>
      <c r="F173" s="215"/>
      <c r="G173" s="216"/>
      <c r="H173" s="216"/>
      <c r="I173" s="216"/>
      <c r="J173" s="216"/>
      <c r="K173" s="216"/>
      <c r="L173" s="216"/>
      <c r="M173" s="4"/>
      <c r="N173" s="3"/>
    </row>
    <row r="174" spans="1:14" x14ac:dyDescent="0.2">
      <c r="A174" s="217" t="s">
        <v>243</v>
      </c>
      <c r="B174" s="179"/>
      <c r="C174" s="179"/>
      <c r="D174" s="179"/>
      <c r="E174" s="179"/>
      <c r="F174" s="180"/>
      <c r="G174" s="181"/>
      <c r="H174" s="181"/>
      <c r="I174" s="181"/>
      <c r="J174" s="181"/>
      <c r="K174" s="181"/>
      <c r="L174" s="181"/>
      <c r="M174" s="6"/>
      <c r="N174" s="5"/>
    </row>
    <row r="175" spans="1:14" ht="33.75" x14ac:dyDescent="0.2">
      <c r="A175" s="218" t="s">
        <v>230</v>
      </c>
      <c r="B175" s="219"/>
      <c r="C175" s="220"/>
      <c r="D175" s="220"/>
      <c r="E175" s="220"/>
      <c r="F175" s="220"/>
      <c r="G175" s="185" t="str">
        <f>G$18</f>
        <v>TOTAL
PROGRAM
BUDGET</v>
      </c>
      <c r="H175" s="185" t="str">
        <f t="shared" ref="H175:N175" si="44">H$18</f>
        <v>HSGP GRANT
BUDGET</v>
      </c>
      <c r="I175" s="185" t="str">
        <f t="shared" si="44"/>
        <v>NON-CITY PROGRAM BUDGET</v>
      </c>
      <c r="J175" s="185" t="str">
        <f t="shared" si="44"/>
        <v>HSGP
MID-YEAR EXPEND.</v>
      </c>
      <c r="K175" s="185" t="str">
        <f t="shared" si="44"/>
        <v>HSGP
YEAR-END EXPEND.</v>
      </c>
      <c r="L175" s="185" t="str">
        <f t="shared" si="44"/>
        <v>HSGP TOTAL EXPEND.</v>
      </c>
      <c r="M175" s="18" t="str">
        <f t="shared" si="44"/>
        <v>HSGP PERCENT EXPENDED</v>
      </c>
      <c r="N175" s="93" t="str">
        <f t="shared" si="44"/>
        <v>YEAR-END
 TOTAL PROGRAM EXPEND.</v>
      </c>
    </row>
    <row r="176" spans="1:14" x14ac:dyDescent="0.2">
      <c r="A176" s="245" t="s">
        <v>244</v>
      </c>
      <c r="B176" s="239"/>
      <c r="C176" s="103"/>
      <c r="D176" s="240"/>
      <c r="E176" s="241"/>
      <c r="F176" s="225"/>
      <c r="G176" s="100">
        <v>30000</v>
      </c>
      <c r="H176" s="99">
        <v>0</v>
      </c>
      <c r="I176" s="64">
        <f t="shared" ref="I176:I188" si="45">G176-H176</f>
        <v>30000</v>
      </c>
      <c r="J176" s="116">
        <v>0</v>
      </c>
      <c r="K176" s="191">
        <v>0</v>
      </c>
      <c r="L176" s="64">
        <f>SUM(J176:K176)</f>
        <v>0</v>
      </c>
      <c r="M176" s="12" t="str">
        <f>IFERROR(L176/H176,"N/A")</f>
        <v>N/A</v>
      </c>
      <c r="N176" s="226">
        <v>30000</v>
      </c>
    </row>
    <row r="177" spans="1:14" x14ac:dyDescent="0.2">
      <c r="A177" s="246" t="s">
        <v>245</v>
      </c>
      <c r="B177" s="239"/>
      <c r="C177" s="103"/>
      <c r="D177" s="240"/>
      <c r="E177" s="241"/>
      <c r="F177" s="225"/>
      <c r="G177" s="100">
        <v>10584</v>
      </c>
      <c r="H177" s="99">
        <v>0</v>
      </c>
      <c r="I177" s="68">
        <f t="shared" si="45"/>
        <v>10584</v>
      </c>
      <c r="J177" s="116">
        <v>0</v>
      </c>
      <c r="K177" s="231">
        <v>0</v>
      </c>
      <c r="L177" s="68">
        <f>SUM(J177:K177)</f>
        <v>0</v>
      </c>
      <c r="M177" s="11" t="str">
        <f>IFERROR(L177/H177,"N/A")</f>
        <v>N/A</v>
      </c>
      <c r="N177" s="229">
        <v>10584</v>
      </c>
    </row>
    <row r="178" spans="1:14" x14ac:dyDescent="0.2">
      <c r="A178" s="246" t="s">
        <v>246</v>
      </c>
      <c r="B178" s="239"/>
      <c r="C178" s="103"/>
      <c r="D178" s="240"/>
      <c r="E178" s="241"/>
      <c r="F178" s="225"/>
      <c r="G178" s="100">
        <v>15485</v>
      </c>
      <c r="H178" s="99">
        <v>498</v>
      </c>
      <c r="I178" s="64">
        <f t="shared" si="45"/>
        <v>14987</v>
      </c>
      <c r="J178" s="116">
        <v>498</v>
      </c>
      <c r="K178" s="191">
        <v>0</v>
      </c>
      <c r="L178" s="64">
        <f t="shared" ref="L178:L188" si="46">SUM(J178:K178)</f>
        <v>498</v>
      </c>
      <c r="M178" s="12">
        <f t="shared" ref="M178:M188" si="47">IFERROR(L178/H178,"N/A")</f>
        <v>1</v>
      </c>
      <c r="N178" s="226">
        <v>15485</v>
      </c>
    </row>
    <row r="179" spans="1:14" x14ac:dyDescent="0.2">
      <c r="A179" s="246" t="s">
        <v>247</v>
      </c>
      <c r="B179" s="239"/>
      <c r="C179" s="103"/>
      <c r="D179" s="240"/>
      <c r="E179" s="241"/>
      <c r="F179" s="225"/>
      <c r="G179" s="100">
        <v>1000</v>
      </c>
      <c r="H179" s="99">
        <v>0</v>
      </c>
      <c r="I179" s="64">
        <f t="shared" si="45"/>
        <v>1000</v>
      </c>
      <c r="J179" s="116">
        <v>0</v>
      </c>
      <c r="K179" s="191">
        <v>0</v>
      </c>
      <c r="L179" s="64">
        <f t="shared" si="46"/>
        <v>0</v>
      </c>
      <c r="M179" s="12" t="str">
        <f t="shared" si="47"/>
        <v>N/A</v>
      </c>
      <c r="N179" s="226">
        <v>1000</v>
      </c>
    </row>
    <row r="180" spans="1:14" x14ac:dyDescent="0.2">
      <c r="A180" s="246" t="s">
        <v>248</v>
      </c>
      <c r="B180" s="239"/>
      <c r="C180" s="103"/>
      <c r="D180" s="240"/>
      <c r="E180" s="241"/>
      <c r="F180" s="225"/>
      <c r="G180" s="100">
        <v>1500</v>
      </c>
      <c r="H180" s="99">
        <v>0</v>
      </c>
      <c r="I180" s="64">
        <f t="shared" si="45"/>
        <v>1500</v>
      </c>
      <c r="J180" s="116">
        <v>0</v>
      </c>
      <c r="K180" s="191">
        <v>0</v>
      </c>
      <c r="L180" s="64">
        <f t="shared" si="46"/>
        <v>0</v>
      </c>
      <c r="M180" s="12" t="str">
        <f t="shared" si="47"/>
        <v>N/A</v>
      </c>
      <c r="N180" s="226">
        <v>1500</v>
      </c>
    </row>
    <row r="181" spans="1:14" x14ac:dyDescent="0.2">
      <c r="A181" s="246" t="s">
        <v>249</v>
      </c>
      <c r="B181" s="239"/>
      <c r="C181" s="103"/>
      <c r="D181" s="240"/>
      <c r="E181" s="241"/>
      <c r="F181" s="225"/>
      <c r="G181" s="100">
        <v>9500</v>
      </c>
      <c r="H181" s="100">
        <v>475.83</v>
      </c>
      <c r="I181" s="71">
        <f t="shared" si="45"/>
        <v>9024.17</v>
      </c>
      <c r="J181" s="247">
        <v>339.22</v>
      </c>
      <c r="K181" s="243">
        <v>136.61000000000001</v>
      </c>
      <c r="L181" s="68">
        <f>SUM(J181:K181)</f>
        <v>475.83000000000004</v>
      </c>
      <c r="M181" s="11">
        <f t="shared" si="47"/>
        <v>1.0000000000000002</v>
      </c>
      <c r="N181" s="229">
        <v>9500</v>
      </c>
    </row>
    <row r="182" spans="1:14" x14ac:dyDescent="0.2">
      <c r="A182" s="246" t="s">
        <v>250</v>
      </c>
      <c r="B182" s="239"/>
      <c r="C182" s="103"/>
      <c r="D182" s="240"/>
      <c r="E182" s="241"/>
      <c r="F182" s="225"/>
      <c r="G182" s="100">
        <v>23000</v>
      </c>
      <c r="H182" s="100">
        <v>0</v>
      </c>
      <c r="I182" s="71">
        <f t="shared" si="45"/>
        <v>23000</v>
      </c>
      <c r="J182" s="247">
        <v>0</v>
      </c>
      <c r="K182" s="243">
        <v>0</v>
      </c>
      <c r="L182" s="68">
        <f t="shared" si="46"/>
        <v>0</v>
      </c>
      <c r="M182" s="11" t="str">
        <f t="shared" si="47"/>
        <v>N/A</v>
      </c>
      <c r="N182" s="229">
        <v>23000</v>
      </c>
    </row>
    <row r="183" spans="1:14" x14ac:dyDescent="0.2">
      <c r="A183" s="246" t="s">
        <v>251</v>
      </c>
      <c r="B183" s="239"/>
      <c r="C183" s="103"/>
      <c r="D183" s="240"/>
      <c r="E183" s="241"/>
      <c r="F183" s="225"/>
      <c r="G183" s="100">
        <v>7500</v>
      </c>
      <c r="H183" s="100">
        <v>0</v>
      </c>
      <c r="I183" s="71">
        <f t="shared" si="45"/>
        <v>7500</v>
      </c>
      <c r="J183" s="247">
        <v>0</v>
      </c>
      <c r="K183" s="243">
        <v>0</v>
      </c>
      <c r="L183" s="68">
        <f t="shared" si="46"/>
        <v>0</v>
      </c>
      <c r="M183" s="11" t="str">
        <f t="shared" si="47"/>
        <v>N/A</v>
      </c>
      <c r="N183" s="229">
        <v>7500</v>
      </c>
    </row>
    <row r="184" spans="1:14" x14ac:dyDescent="0.2">
      <c r="A184" s="246" t="s">
        <v>252</v>
      </c>
      <c r="B184" s="239"/>
      <c r="C184" s="103"/>
      <c r="D184" s="240"/>
      <c r="E184" s="241"/>
      <c r="F184" s="225"/>
      <c r="G184" s="100">
        <v>2446</v>
      </c>
      <c r="H184" s="100">
        <v>674.48</v>
      </c>
      <c r="I184" s="71">
        <f t="shared" si="45"/>
        <v>1771.52</v>
      </c>
      <c r="J184" s="247">
        <v>231.74</v>
      </c>
      <c r="K184" s="243">
        <v>442.74</v>
      </c>
      <c r="L184" s="68">
        <f t="shared" si="46"/>
        <v>674.48</v>
      </c>
      <c r="M184" s="11">
        <f>IFERROR(L184/H184,"N/A")</f>
        <v>1</v>
      </c>
      <c r="N184" s="229">
        <v>2446</v>
      </c>
    </row>
    <row r="185" spans="1:14" x14ac:dyDescent="0.2">
      <c r="A185" s="246" t="s">
        <v>253</v>
      </c>
      <c r="B185" s="239"/>
      <c r="C185" s="103"/>
      <c r="D185" s="240"/>
      <c r="E185" s="241"/>
      <c r="F185" s="225"/>
      <c r="G185" s="100">
        <v>14059</v>
      </c>
      <c r="H185" s="100">
        <v>0</v>
      </c>
      <c r="I185" s="71">
        <f t="shared" si="45"/>
        <v>14059</v>
      </c>
      <c r="J185" s="247">
        <v>0</v>
      </c>
      <c r="K185" s="243">
        <v>0</v>
      </c>
      <c r="L185" s="68">
        <f t="shared" si="46"/>
        <v>0</v>
      </c>
      <c r="M185" s="11" t="str">
        <f t="shared" si="47"/>
        <v>N/A</v>
      </c>
      <c r="N185" s="229">
        <v>14059</v>
      </c>
    </row>
    <row r="186" spans="1:14" x14ac:dyDescent="0.2">
      <c r="A186" s="246" t="s">
        <v>254</v>
      </c>
      <c r="B186" s="239"/>
      <c r="C186" s="103"/>
      <c r="D186" s="240"/>
      <c r="E186" s="241"/>
      <c r="F186" s="225"/>
      <c r="G186" s="100">
        <v>7770</v>
      </c>
      <c r="H186" s="100">
        <v>854</v>
      </c>
      <c r="I186" s="71">
        <f t="shared" si="45"/>
        <v>6916</v>
      </c>
      <c r="J186" s="247">
        <v>840</v>
      </c>
      <c r="K186" s="243">
        <v>14</v>
      </c>
      <c r="L186" s="68">
        <f t="shared" si="46"/>
        <v>854</v>
      </c>
      <c r="M186" s="11">
        <f t="shared" si="47"/>
        <v>1</v>
      </c>
      <c r="N186" s="229">
        <v>7770</v>
      </c>
    </row>
    <row r="187" spans="1:14" x14ac:dyDescent="0.2">
      <c r="A187" s="242"/>
      <c r="B187" s="239"/>
      <c r="C187" s="103"/>
      <c r="D187" s="240"/>
      <c r="E187" s="241"/>
      <c r="F187" s="225"/>
      <c r="G187" s="100">
        <v>0</v>
      </c>
      <c r="H187" s="99">
        <v>0</v>
      </c>
      <c r="I187" s="64">
        <f t="shared" si="45"/>
        <v>0</v>
      </c>
      <c r="J187" s="116">
        <v>0</v>
      </c>
      <c r="K187" s="191">
        <v>0</v>
      </c>
      <c r="L187" s="64">
        <f t="shared" si="46"/>
        <v>0</v>
      </c>
      <c r="M187" s="12" t="str">
        <f t="shared" si="47"/>
        <v>N/A</v>
      </c>
      <c r="N187" s="226">
        <v>0</v>
      </c>
    </row>
    <row r="188" spans="1:14" x14ac:dyDescent="0.2">
      <c r="A188" s="242"/>
      <c r="B188" s="239"/>
      <c r="C188" s="103"/>
      <c r="D188" s="240"/>
      <c r="E188" s="241"/>
      <c r="F188" s="225"/>
      <c r="G188" s="100">
        <v>0</v>
      </c>
      <c r="H188" s="99">
        <v>0</v>
      </c>
      <c r="I188" s="68">
        <f t="shared" si="45"/>
        <v>0</v>
      </c>
      <c r="J188" s="116">
        <v>0</v>
      </c>
      <c r="K188" s="231">
        <v>0</v>
      </c>
      <c r="L188" s="68">
        <f t="shared" si="46"/>
        <v>0</v>
      </c>
      <c r="M188" s="11" t="str">
        <f t="shared" si="47"/>
        <v>N/A</v>
      </c>
      <c r="N188" s="229">
        <v>0</v>
      </c>
    </row>
    <row r="189" spans="1:14" x14ac:dyDescent="0.2">
      <c r="A189" s="152"/>
      <c r="B189" s="153"/>
      <c r="C189" s="235" t="s">
        <v>255</v>
      </c>
      <c r="D189" s="236"/>
      <c r="E189" s="236"/>
      <c r="F189" s="237"/>
      <c r="G189" s="69">
        <f t="shared" ref="G189:L189" si="48">SUM(G176:G188)</f>
        <v>122844</v>
      </c>
      <c r="H189" s="69">
        <f t="shared" si="48"/>
        <v>2502.31</v>
      </c>
      <c r="I189" s="69">
        <f t="shared" si="48"/>
        <v>120341.69</v>
      </c>
      <c r="J189" s="69">
        <f t="shared" si="48"/>
        <v>1908.96</v>
      </c>
      <c r="K189" s="69">
        <f t="shared" si="48"/>
        <v>593.35</v>
      </c>
      <c r="L189" s="69">
        <f t="shared" si="48"/>
        <v>2502.31</v>
      </c>
      <c r="M189" s="19">
        <f>IFERROR(L189/H189,"N/A")</f>
        <v>1</v>
      </c>
      <c r="N189" s="70">
        <f>SUM(N176:N188)</f>
        <v>122844</v>
      </c>
    </row>
    <row r="191" spans="1:14" s="182" customFormat="1" x14ac:dyDescent="0.2">
      <c r="A191" s="213" t="s">
        <v>256</v>
      </c>
      <c r="B191" s="214"/>
      <c r="C191" s="214"/>
      <c r="D191" s="214"/>
      <c r="E191" s="214"/>
      <c r="F191" s="215"/>
      <c r="G191" s="216"/>
      <c r="H191" s="216"/>
      <c r="I191" s="216"/>
      <c r="J191" s="216"/>
      <c r="K191" s="216"/>
      <c r="L191" s="216"/>
      <c r="M191" s="4"/>
      <c r="N191" s="3"/>
    </row>
    <row r="192" spans="1:14" x14ac:dyDescent="0.2">
      <c r="A192" s="217" t="s">
        <v>257</v>
      </c>
      <c r="B192" s="179"/>
      <c r="C192" s="179"/>
      <c r="D192" s="179"/>
      <c r="E192" s="179"/>
      <c r="F192" s="180"/>
      <c r="G192" s="181"/>
      <c r="H192" s="181"/>
      <c r="I192" s="181"/>
      <c r="J192" s="181"/>
      <c r="K192" s="181"/>
      <c r="L192" s="181"/>
      <c r="M192" s="6"/>
      <c r="N192" s="5"/>
    </row>
    <row r="193" spans="1:14" ht="33.75" x14ac:dyDescent="0.2">
      <c r="A193" s="218" t="s">
        <v>230</v>
      </c>
      <c r="B193" s="219"/>
      <c r="C193" s="220"/>
      <c r="D193" s="220"/>
      <c r="E193" s="220"/>
      <c r="F193" s="220"/>
      <c r="G193" s="185" t="str">
        <f>G$18</f>
        <v>TOTAL
PROGRAM
BUDGET</v>
      </c>
      <c r="H193" s="185" t="str">
        <f t="shared" ref="H193:N193" si="49">H$18</f>
        <v>HSGP GRANT
BUDGET</v>
      </c>
      <c r="I193" s="185" t="str">
        <f t="shared" si="49"/>
        <v>NON-CITY PROGRAM BUDGET</v>
      </c>
      <c r="J193" s="185" t="str">
        <f t="shared" si="49"/>
        <v>HSGP
MID-YEAR EXPEND.</v>
      </c>
      <c r="K193" s="185" t="str">
        <f t="shared" si="49"/>
        <v>HSGP
YEAR-END EXPEND.</v>
      </c>
      <c r="L193" s="185" t="str">
        <f t="shared" si="49"/>
        <v>HSGP TOTAL EXPEND.</v>
      </c>
      <c r="M193" s="18" t="str">
        <f t="shared" si="49"/>
        <v>HSGP PERCENT EXPENDED</v>
      </c>
      <c r="N193" s="93" t="str">
        <f t="shared" si="49"/>
        <v>YEAR-END
 TOTAL PROGRAM EXPEND.</v>
      </c>
    </row>
    <row r="194" spans="1:14" x14ac:dyDescent="0.2">
      <c r="A194" s="245" t="s">
        <v>258</v>
      </c>
      <c r="B194" s="239"/>
      <c r="C194" s="103"/>
      <c r="D194" s="240"/>
      <c r="E194" s="241"/>
      <c r="F194" s="225"/>
      <c r="G194" s="99">
        <v>35500</v>
      </c>
      <c r="H194" s="99">
        <v>3585.1</v>
      </c>
      <c r="I194" s="64">
        <f t="shared" ref="I194:I202" si="50">G194-H194</f>
        <v>31914.9</v>
      </c>
      <c r="J194" s="116">
        <v>1274</v>
      </c>
      <c r="K194" s="191">
        <v>2312</v>
      </c>
      <c r="L194" s="110">
        <f>SUM(J194:K194)</f>
        <v>3586</v>
      </c>
      <c r="M194" s="12">
        <f>IFERROR(L194/H194,"N/A")</f>
        <v>1.0002510390226214</v>
      </c>
      <c r="N194" s="226">
        <v>35500</v>
      </c>
    </row>
    <row r="195" spans="1:14" x14ac:dyDescent="0.2">
      <c r="A195" s="246" t="s">
        <v>259</v>
      </c>
      <c r="B195" s="239"/>
      <c r="C195" s="103"/>
      <c r="D195" s="240"/>
      <c r="E195" s="241"/>
      <c r="F195" s="225"/>
      <c r="G195" s="99">
        <v>25000</v>
      </c>
      <c r="H195" s="99">
        <v>0</v>
      </c>
      <c r="I195" s="64">
        <f t="shared" si="50"/>
        <v>25000</v>
      </c>
      <c r="J195" s="191">
        <v>0</v>
      </c>
      <c r="K195" s="191">
        <v>0</v>
      </c>
      <c r="L195" s="64">
        <f t="shared" ref="L195:L202" si="51">SUM(J195:K195)</f>
        <v>0</v>
      </c>
      <c r="M195" s="12" t="str">
        <f t="shared" ref="M195:M202" si="52">IFERROR(L195/H195,"N/A")</f>
        <v>N/A</v>
      </c>
      <c r="N195" s="226">
        <v>25000</v>
      </c>
    </row>
    <row r="196" spans="1:14" x14ac:dyDescent="0.2">
      <c r="A196" s="246" t="s">
        <v>260</v>
      </c>
      <c r="B196" s="239"/>
      <c r="C196" s="103"/>
      <c r="D196" s="240"/>
      <c r="E196" s="241"/>
      <c r="F196" s="225"/>
      <c r="G196" s="99">
        <v>6000</v>
      </c>
      <c r="H196" s="99">
        <v>0</v>
      </c>
      <c r="I196" s="64">
        <f t="shared" si="50"/>
        <v>6000</v>
      </c>
      <c r="J196" s="191">
        <v>0</v>
      </c>
      <c r="K196" s="191">
        <v>0</v>
      </c>
      <c r="L196" s="64">
        <f t="shared" si="51"/>
        <v>0</v>
      </c>
      <c r="M196" s="12" t="str">
        <f t="shared" si="52"/>
        <v>N/A</v>
      </c>
      <c r="N196" s="226">
        <v>6000</v>
      </c>
    </row>
    <row r="197" spans="1:14" x14ac:dyDescent="0.2">
      <c r="A197" s="246" t="s">
        <v>261</v>
      </c>
      <c r="B197" s="239"/>
      <c r="C197" s="103"/>
      <c r="D197" s="240"/>
      <c r="E197" s="241"/>
      <c r="F197" s="225"/>
      <c r="G197" s="99">
        <v>1000</v>
      </c>
      <c r="H197" s="99">
        <v>0</v>
      </c>
      <c r="I197" s="64">
        <f t="shared" si="50"/>
        <v>1000</v>
      </c>
      <c r="J197" s="191">
        <v>0</v>
      </c>
      <c r="K197" s="191">
        <v>0</v>
      </c>
      <c r="L197" s="64">
        <f t="shared" si="51"/>
        <v>0</v>
      </c>
      <c r="M197" s="12" t="str">
        <f t="shared" si="52"/>
        <v>N/A</v>
      </c>
      <c r="N197" s="226">
        <v>1000</v>
      </c>
    </row>
    <row r="198" spans="1:14" x14ac:dyDescent="0.2">
      <c r="A198" s="246" t="s">
        <v>262</v>
      </c>
      <c r="B198" s="239"/>
      <c r="C198" s="103"/>
      <c r="D198" s="240"/>
      <c r="E198" s="241"/>
      <c r="F198" s="225"/>
      <c r="G198" s="100">
        <v>10000</v>
      </c>
      <c r="H198" s="100">
        <v>0</v>
      </c>
      <c r="I198" s="71">
        <f t="shared" si="50"/>
        <v>10000</v>
      </c>
      <c r="J198" s="243">
        <v>0</v>
      </c>
      <c r="K198" s="243">
        <v>0</v>
      </c>
      <c r="L198" s="64">
        <f t="shared" si="51"/>
        <v>0</v>
      </c>
      <c r="M198" s="12" t="str">
        <f t="shared" si="52"/>
        <v>N/A</v>
      </c>
      <c r="N198" s="226">
        <v>10000</v>
      </c>
    </row>
    <row r="199" spans="1:14" x14ac:dyDescent="0.2">
      <c r="A199" s="246" t="s">
        <v>263</v>
      </c>
      <c r="B199" s="239"/>
      <c r="C199" s="103"/>
      <c r="D199" s="240"/>
      <c r="E199" s="241"/>
      <c r="F199" s="225"/>
      <c r="G199" s="100">
        <v>2500</v>
      </c>
      <c r="H199" s="100">
        <v>0</v>
      </c>
      <c r="I199" s="71">
        <f t="shared" si="50"/>
        <v>2500</v>
      </c>
      <c r="J199" s="243">
        <v>0</v>
      </c>
      <c r="K199" s="243">
        <v>0</v>
      </c>
      <c r="L199" s="68">
        <f t="shared" si="51"/>
        <v>0</v>
      </c>
      <c r="M199" s="11" t="str">
        <f t="shared" si="52"/>
        <v>N/A</v>
      </c>
      <c r="N199" s="229">
        <v>2500</v>
      </c>
    </row>
    <row r="200" spans="1:14" x14ac:dyDescent="0.2">
      <c r="A200" s="246" t="s">
        <v>264</v>
      </c>
      <c r="B200" s="239"/>
      <c r="C200" s="103"/>
      <c r="D200" s="240"/>
      <c r="E200" s="241"/>
      <c r="F200" s="225"/>
      <c r="G200" s="100">
        <v>2000</v>
      </c>
      <c r="H200" s="100">
        <v>0</v>
      </c>
      <c r="I200" s="71">
        <f t="shared" si="50"/>
        <v>2000</v>
      </c>
      <c r="J200" s="243">
        <v>0</v>
      </c>
      <c r="K200" s="243">
        <v>0</v>
      </c>
      <c r="L200" s="68">
        <f t="shared" si="51"/>
        <v>0</v>
      </c>
      <c r="M200" s="11" t="str">
        <f t="shared" si="52"/>
        <v>N/A</v>
      </c>
      <c r="N200" s="229">
        <v>2000</v>
      </c>
    </row>
    <row r="201" spans="1:14" x14ac:dyDescent="0.2">
      <c r="A201" s="242"/>
      <c r="B201" s="239"/>
      <c r="C201" s="103"/>
      <c r="D201" s="240"/>
      <c r="E201" s="241"/>
      <c r="F201" s="225"/>
      <c r="G201" s="99">
        <v>0</v>
      </c>
      <c r="H201" s="99">
        <v>0</v>
      </c>
      <c r="I201" s="64">
        <f t="shared" si="50"/>
        <v>0</v>
      </c>
      <c r="J201" s="191">
        <v>0</v>
      </c>
      <c r="K201" s="191">
        <v>0</v>
      </c>
      <c r="L201" s="64">
        <f t="shared" si="51"/>
        <v>0</v>
      </c>
      <c r="M201" s="12" t="str">
        <f t="shared" si="52"/>
        <v>N/A</v>
      </c>
      <c r="N201" s="226">
        <v>0</v>
      </c>
    </row>
    <row r="202" spans="1:14" x14ac:dyDescent="0.2">
      <c r="A202" s="242"/>
      <c r="B202" s="239"/>
      <c r="C202" s="104"/>
      <c r="D202" s="248"/>
      <c r="E202" s="249"/>
      <c r="F202" s="225"/>
      <c r="G202" s="100">
        <v>0</v>
      </c>
      <c r="H202" s="100">
        <v>0</v>
      </c>
      <c r="I202" s="71">
        <f t="shared" si="50"/>
        <v>0</v>
      </c>
      <c r="J202" s="243">
        <v>0</v>
      </c>
      <c r="K202" s="243">
        <v>0</v>
      </c>
      <c r="L202" s="68">
        <f t="shared" si="51"/>
        <v>0</v>
      </c>
      <c r="M202" s="11" t="str">
        <f t="shared" si="52"/>
        <v>N/A</v>
      </c>
      <c r="N202" s="229">
        <v>0</v>
      </c>
    </row>
    <row r="203" spans="1:14" x14ac:dyDescent="0.2">
      <c r="A203" s="152"/>
      <c r="B203" s="153"/>
      <c r="C203" s="235" t="s">
        <v>265</v>
      </c>
      <c r="D203" s="236"/>
      <c r="E203" s="236"/>
      <c r="F203" s="237"/>
      <c r="G203" s="69">
        <f t="shared" ref="G203:L203" si="53">SUM(G194:G202)</f>
        <v>82000</v>
      </c>
      <c r="H203" s="69">
        <f t="shared" si="53"/>
        <v>3585.1</v>
      </c>
      <c r="I203" s="69">
        <f t="shared" si="53"/>
        <v>78414.899999999994</v>
      </c>
      <c r="J203" s="69">
        <f t="shared" si="53"/>
        <v>1274</v>
      </c>
      <c r="K203" s="69">
        <f t="shared" si="53"/>
        <v>2312</v>
      </c>
      <c r="L203" s="69">
        <f t="shared" si="53"/>
        <v>3586</v>
      </c>
      <c r="M203" s="19">
        <f>IFERROR(L203/H203,"N/A")</f>
        <v>1.0002510390226214</v>
      </c>
      <c r="N203" s="70">
        <f>SUM(N194:N202)</f>
        <v>82000</v>
      </c>
    </row>
    <row r="205" spans="1:14" s="182" customFormat="1" x14ac:dyDescent="0.2">
      <c r="A205" s="213" t="s">
        <v>266</v>
      </c>
      <c r="B205" s="214"/>
      <c r="C205" s="214"/>
      <c r="D205" s="214"/>
      <c r="E205" s="214"/>
      <c r="F205" s="215"/>
      <c r="G205" s="216"/>
      <c r="H205" s="216"/>
      <c r="I205" s="216"/>
      <c r="J205" s="216"/>
      <c r="K205" s="216"/>
      <c r="L205" s="216"/>
      <c r="M205" s="4"/>
      <c r="N205" s="3"/>
    </row>
    <row r="206" spans="1:14" x14ac:dyDescent="0.2">
      <c r="A206" s="217" t="s">
        <v>267</v>
      </c>
      <c r="B206" s="179"/>
      <c r="C206" s="179"/>
      <c r="D206" s="179"/>
      <c r="E206" s="179"/>
      <c r="F206" s="180"/>
      <c r="G206" s="181"/>
      <c r="H206" s="181"/>
      <c r="I206" s="181"/>
      <c r="J206" s="181"/>
      <c r="K206" s="181"/>
      <c r="L206" s="181"/>
      <c r="M206" s="6"/>
      <c r="N206" s="5"/>
    </row>
    <row r="207" spans="1:14" ht="33.75" x14ac:dyDescent="0.2">
      <c r="A207" s="218" t="s">
        <v>230</v>
      </c>
      <c r="B207" s="219"/>
      <c r="C207" s="220"/>
      <c r="D207" s="220"/>
      <c r="E207" s="220"/>
      <c r="F207" s="220"/>
      <c r="G207" s="185" t="str">
        <f>G$18</f>
        <v>TOTAL
PROGRAM
BUDGET</v>
      </c>
      <c r="H207" s="185" t="str">
        <f t="shared" ref="H207:N207" si="54">H$18</f>
        <v>HSGP GRANT
BUDGET</v>
      </c>
      <c r="I207" s="185" t="str">
        <f t="shared" si="54"/>
        <v>NON-CITY PROGRAM BUDGET</v>
      </c>
      <c r="J207" s="185" t="str">
        <f t="shared" si="54"/>
        <v>HSGP
MID-YEAR EXPEND.</v>
      </c>
      <c r="K207" s="185" t="str">
        <f t="shared" si="54"/>
        <v>HSGP
YEAR-END EXPEND.</v>
      </c>
      <c r="L207" s="185" t="str">
        <f t="shared" si="54"/>
        <v>HSGP TOTAL EXPEND.</v>
      </c>
      <c r="M207" s="18" t="str">
        <f t="shared" si="54"/>
        <v>HSGP PERCENT EXPENDED</v>
      </c>
      <c r="N207" s="93" t="str">
        <f t="shared" si="54"/>
        <v>YEAR-END
 TOTAL PROGRAM EXPEND.</v>
      </c>
    </row>
    <row r="208" spans="1:14" x14ac:dyDescent="0.2">
      <c r="A208" s="245" t="s">
        <v>268</v>
      </c>
      <c r="B208" s="239"/>
      <c r="C208" s="103"/>
      <c r="D208" s="240"/>
      <c r="E208" s="241"/>
      <c r="F208" s="225"/>
      <c r="G208" s="99">
        <v>13500</v>
      </c>
      <c r="H208" s="99">
        <v>0</v>
      </c>
      <c r="I208" s="64">
        <f t="shared" ref="I208:I212" si="55">G208-H208</f>
        <v>13500</v>
      </c>
      <c r="J208" s="191">
        <v>0</v>
      </c>
      <c r="K208" s="191">
        <v>0</v>
      </c>
      <c r="L208" s="64">
        <f>SUM(J208:K208)</f>
        <v>0</v>
      </c>
      <c r="M208" s="12" t="str">
        <f>IFERROR(L208/H208,"N/A")</f>
        <v>N/A</v>
      </c>
      <c r="N208" s="226">
        <v>13500</v>
      </c>
    </row>
    <row r="209" spans="1:14" x14ac:dyDescent="0.2">
      <c r="A209" s="246" t="s">
        <v>269</v>
      </c>
      <c r="B209" s="239"/>
      <c r="C209" s="103"/>
      <c r="D209" s="240"/>
      <c r="E209" s="241"/>
      <c r="F209" s="225"/>
      <c r="G209" s="99">
        <v>3330</v>
      </c>
      <c r="H209" s="99">
        <v>0</v>
      </c>
      <c r="I209" s="64">
        <f t="shared" si="55"/>
        <v>3330</v>
      </c>
      <c r="J209" s="191">
        <v>0</v>
      </c>
      <c r="K209" s="191">
        <v>0</v>
      </c>
      <c r="L209" s="64">
        <f t="shared" ref="L209:L212" si="56">SUM(J209:K209)</f>
        <v>0</v>
      </c>
      <c r="M209" s="12" t="str">
        <f t="shared" ref="M209:M212" si="57">IFERROR(L209/H209,"N/A")</f>
        <v>N/A</v>
      </c>
      <c r="N209" s="226">
        <v>3330</v>
      </c>
    </row>
    <row r="210" spans="1:14" x14ac:dyDescent="0.2">
      <c r="A210" s="246" t="s">
        <v>270</v>
      </c>
      <c r="B210" s="239"/>
      <c r="C210" s="103"/>
      <c r="D210" s="240"/>
      <c r="E210" s="241"/>
      <c r="F210" s="225"/>
      <c r="G210" s="99">
        <v>8000</v>
      </c>
      <c r="H210" s="99">
        <v>0</v>
      </c>
      <c r="I210" s="64">
        <f t="shared" si="55"/>
        <v>8000</v>
      </c>
      <c r="J210" s="191">
        <v>0</v>
      </c>
      <c r="K210" s="191">
        <v>0</v>
      </c>
      <c r="L210" s="64">
        <f t="shared" si="56"/>
        <v>0</v>
      </c>
      <c r="M210" s="12" t="str">
        <f t="shared" si="57"/>
        <v>N/A</v>
      </c>
      <c r="N210" s="226">
        <v>8000</v>
      </c>
    </row>
    <row r="211" spans="1:14" x14ac:dyDescent="0.2">
      <c r="A211" s="242"/>
      <c r="B211" s="239"/>
      <c r="C211" s="103"/>
      <c r="D211" s="240"/>
      <c r="E211" s="241"/>
      <c r="F211" s="225"/>
      <c r="G211" s="99">
        <v>0</v>
      </c>
      <c r="H211" s="99">
        <v>0</v>
      </c>
      <c r="I211" s="64">
        <f t="shared" si="55"/>
        <v>0</v>
      </c>
      <c r="J211" s="191">
        <v>0</v>
      </c>
      <c r="K211" s="191">
        <v>0</v>
      </c>
      <c r="L211" s="64">
        <f t="shared" si="56"/>
        <v>0</v>
      </c>
      <c r="M211" s="12" t="str">
        <f t="shared" si="57"/>
        <v>N/A</v>
      </c>
      <c r="N211" s="226">
        <v>0</v>
      </c>
    </row>
    <row r="212" spans="1:14" x14ac:dyDescent="0.2">
      <c r="A212" s="242"/>
      <c r="B212" s="239"/>
      <c r="C212" s="104"/>
      <c r="D212" s="248"/>
      <c r="E212" s="249"/>
      <c r="F212" s="225"/>
      <c r="G212" s="99">
        <v>0</v>
      </c>
      <c r="H212" s="99">
        <v>0</v>
      </c>
      <c r="I212" s="64">
        <f t="shared" si="55"/>
        <v>0</v>
      </c>
      <c r="J212" s="191">
        <v>0</v>
      </c>
      <c r="K212" s="191">
        <v>0</v>
      </c>
      <c r="L212" s="64">
        <f t="shared" si="56"/>
        <v>0</v>
      </c>
      <c r="M212" s="12" t="str">
        <f t="shared" si="57"/>
        <v>N/A</v>
      </c>
      <c r="N212" s="226">
        <v>0</v>
      </c>
    </row>
    <row r="213" spans="1:14" x14ac:dyDescent="0.2">
      <c r="A213" s="152"/>
      <c r="B213" s="153"/>
      <c r="C213" s="235" t="s">
        <v>271</v>
      </c>
      <c r="D213" s="236"/>
      <c r="E213" s="236"/>
      <c r="F213" s="237"/>
      <c r="G213" s="69">
        <f t="shared" ref="G213:L213" si="58">SUM(G208:G212)</f>
        <v>24830</v>
      </c>
      <c r="H213" s="69">
        <f t="shared" si="58"/>
        <v>0</v>
      </c>
      <c r="I213" s="69">
        <f t="shared" si="58"/>
        <v>24830</v>
      </c>
      <c r="J213" s="69">
        <f t="shared" si="58"/>
        <v>0</v>
      </c>
      <c r="K213" s="69">
        <f t="shared" si="58"/>
        <v>0</v>
      </c>
      <c r="L213" s="69">
        <f t="shared" si="58"/>
        <v>0</v>
      </c>
      <c r="M213" s="19" t="str">
        <f>IFERROR(L213/H213,"N/A")</f>
        <v>N/A</v>
      </c>
      <c r="N213" s="70">
        <f>SUM(N208:N212)</f>
        <v>24830</v>
      </c>
    </row>
    <row r="215" spans="1:14" s="182" customFormat="1" x14ac:dyDescent="0.2">
      <c r="A215" s="213" t="s">
        <v>272</v>
      </c>
      <c r="B215" s="214"/>
      <c r="C215" s="214"/>
      <c r="D215" s="214"/>
      <c r="E215" s="214"/>
      <c r="F215" s="215"/>
      <c r="G215" s="216"/>
      <c r="H215" s="216"/>
      <c r="I215" s="216"/>
      <c r="J215" s="216"/>
      <c r="K215" s="216"/>
      <c r="L215" s="216"/>
      <c r="M215" s="4"/>
      <c r="N215" s="3"/>
    </row>
    <row r="216" spans="1:14" s="182" customFormat="1" ht="11.25" x14ac:dyDescent="0.2">
      <c r="A216" s="217" t="s">
        <v>273</v>
      </c>
      <c r="B216" s="250"/>
      <c r="C216" s="250"/>
      <c r="D216" s="250"/>
      <c r="E216" s="250"/>
      <c r="F216" s="180"/>
      <c r="G216" s="180"/>
      <c r="H216" s="180"/>
      <c r="I216" s="180"/>
      <c r="J216" s="180"/>
      <c r="K216" s="180"/>
      <c r="L216" s="180"/>
      <c r="M216" s="56"/>
      <c r="N216" s="251"/>
    </row>
    <row r="217" spans="1:14" s="182" customFormat="1" ht="11.25" x14ac:dyDescent="0.2">
      <c r="A217" s="252" t="s">
        <v>274</v>
      </c>
      <c r="B217" s="250"/>
      <c r="C217" s="250"/>
      <c r="D217" s="250"/>
      <c r="E217" s="250"/>
      <c r="F217" s="180"/>
      <c r="G217" s="180"/>
      <c r="H217" s="180"/>
      <c r="I217" s="180"/>
      <c r="J217" s="180"/>
      <c r="K217" s="180"/>
      <c r="L217" s="180"/>
      <c r="M217" s="56"/>
      <c r="N217" s="251"/>
    </row>
    <row r="218" spans="1:14" s="182" customFormat="1" ht="12" x14ac:dyDescent="0.2">
      <c r="A218" s="253" t="s">
        <v>275</v>
      </c>
      <c r="B218" s="250"/>
      <c r="C218" s="250"/>
      <c r="D218" s="250"/>
      <c r="E218" s="250"/>
      <c r="F218" s="250"/>
      <c r="G218" s="20"/>
      <c r="H218" s="20"/>
      <c r="I218" s="20"/>
      <c r="J218" s="20"/>
      <c r="K218" s="20"/>
      <c r="L218" s="20"/>
      <c r="M218" s="21"/>
      <c r="N218" s="22"/>
    </row>
    <row r="219" spans="1:14" ht="33.75" x14ac:dyDescent="0.2">
      <c r="A219" s="218" t="s">
        <v>230</v>
      </c>
      <c r="B219" s="219"/>
      <c r="C219" s="220"/>
      <c r="D219" s="220"/>
      <c r="E219" s="220"/>
      <c r="F219" s="220"/>
      <c r="G219" s="185" t="str">
        <f>G$18</f>
        <v>TOTAL
PROGRAM
BUDGET</v>
      </c>
      <c r="H219" s="185" t="str">
        <f t="shared" ref="H219:N219" si="59">H$18</f>
        <v>HSGP GRANT
BUDGET</v>
      </c>
      <c r="I219" s="185" t="str">
        <f t="shared" si="59"/>
        <v>NON-CITY PROGRAM BUDGET</v>
      </c>
      <c r="J219" s="185" t="str">
        <f t="shared" si="59"/>
        <v>HSGP
MID-YEAR EXPEND.</v>
      </c>
      <c r="K219" s="185" t="str">
        <f t="shared" si="59"/>
        <v>HSGP
YEAR-END EXPEND.</v>
      </c>
      <c r="L219" s="185" t="str">
        <f t="shared" si="59"/>
        <v>HSGP TOTAL EXPEND.</v>
      </c>
      <c r="M219" s="18" t="str">
        <f t="shared" si="59"/>
        <v>HSGP PERCENT EXPENDED</v>
      </c>
      <c r="N219" s="93" t="str">
        <f t="shared" si="59"/>
        <v>YEAR-END
 TOTAL PROGRAM EXPEND.</v>
      </c>
    </row>
    <row r="220" spans="1:14" x14ac:dyDescent="0.2">
      <c r="A220" s="254" t="s">
        <v>276</v>
      </c>
      <c r="B220" s="255"/>
      <c r="C220" s="105"/>
      <c r="D220" s="225"/>
      <c r="E220" s="256" t="s">
        <v>277</v>
      </c>
      <c r="F220" s="257">
        <f>IFERROR(H222/H224,"N/A")</f>
        <v>7.0725456825450395E-2</v>
      </c>
      <c r="G220" s="108">
        <v>258027.6694172736</v>
      </c>
      <c r="H220" s="100">
        <v>20000</v>
      </c>
      <c r="I220" s="71">
        <f>G220-H220</f>
        <v>238027.6694172736</v>
      </c>
      <c r="J220" s="247">
        <v>9999.9599999999991</v>
      </c>
      <c r="K220" s="243">
        <v>10000.01</v>
      </c>
      <c r="L220" s="64">
        <f>SUM(J220:K220)</f>
        <v>19999.97</v>
      </c>
      <c r="M220" s="12">
        <f>IFERROR(L220/H220,"N/A")</f>
        <v>0.99999850000000001</v>
      </c>
      <c r="N220" s="226">
        <v>258027.67</v>
      </c>
    </row>
    <row r="221" spans="1:14" x14ac:dyDescent="0.2">
      <c r="A221" s="258"/>
      <c r="B221" s="255"/>
      <c r="C221" s="106"/>
      <c r="D221" s="225"/>
      <c r="E221" s="256"/>
      <c r="F221" s="257"/>
      <c r="G221" s="100">
        <v>0</v>
      </c>
      <c r="H221" s="100">
        <v>0</v>
      </c>
      <c r="I221" s="71">
        <f t="shared" ref="I221" si="60">G221-H221</f>
        <v>0</v>
      </c>
      <c r="J221" s="243">
        <v>0</v>
      </c>
      <c r="K221" s="243">
        <v>0</v>
      </c>
      <c r="L221" s="71">
        <f>SUM(J221:K221)</f>
        <v>0</v>
      </c>
      <c r="M221" s="17" t="str">
        <f>IFERROR(L221/H221,"N/A")</f>
        <v>N/A</v>
      </c>
      <c r="N221" s="259">
        <v>0</v>
      </c>
    </row>
    <row r="222" spans="1:14" x14ac:dyDescent="0.2">
      <c r="A222" s="152"/>
      <c r="B222" s="153"/>
      <c r="C222" s="235" t="s">
        <v>278</v>
      </c>
      <c r="D222" s="236"/>
      <c r="E222" s="236"/>
      <c r="F222" s="260"/>
      <c r="G222" s="72">
        <f>SUM(G220:G221)</f>
        <v>258027.6694172736</v>
      </c>
      <c r="H222" s="72">
        <f>SUM(H220:H221)</f>
        <v>20000</v>
      </c>
      <c r="I222" s="72">
        <f>SUM(I220:I221)</f>
        <v>238027.6694172736</v>
      </c>
      <c r="J222" s="72">
        <f t="shared" ref="J222:L222" si="61">SUM(J220:J221)</f>
        <v>9999.9599999999991</v>
      </c>
      <c r="K222" s="72">
        <f t="shared" si="61"/>
        <v>10000.01</v>
      </c>
      <c r="L222" s="72">
        <f t="shared" si="61"/>
        <v>19999.97</v>
      </c>
      <c r="M222" s="63">
        <f>IFERROR(L222/H222,"N/A")</f>
        <v>0.99999850000000001</v>
      </c>
      <c r="N222" s="73">
        <f>SUM(N220:N221)</f>
        <v>258027.67</v>
      </c>
    </row>
    <row r="223" spans="1:14" ht="13.5" thickBot="1" x14ac:dyDescent="0.25"/>
    <row r="224" spans="1:14" ht="15.75" thickBot="1" x14ac:dyDescent="0.3">
      <c r="A224" s="261"/>
      <c r="B224" s="262"/>
      <c r="C224" s="263" t="s">
        <v>279</v>
      </c>
      <c r="D224" s="262"/>
      <c r="E224" s="262"/>
      <c r="F224" s="264"/>
      <c r="G224" s="74">
        <f t="shared" ref="G224:L224" si="62">SUM(G222,G213,G203,G189,G171,G162,G150)</f>
        <v>2811277.4924700088</v>
      </c>
      <c r="H224" s="74">
        <f t="shared" si="62"/>
        <v>282783.61</v>
      </c>
      <c r="I224" s="74">
        <f t="shared" si="62"/>
        <v>2528493.8824700089</v>
      </c>
      <c r="J224" s="74">
        <f t="shared" si="62"/>
        <v>129596.65</v>
      </c>
      <c r="K224" s="74">
        <f t="shared" si="62"/>
        <v>153186</v>
      </c>
      <c r="L224" s="74">
        <f t="shared" si="62"/>
        <v>282782.65000000002</v>
      </c>
      <c r="M224" s="2">
        <f>IFERROR(L224/H224,"N/A")</f>
        <v>0.99999660517807254</v>
      </c>
      <c r="N224" s="75">
        <f>SUM(N222,N213,N203,N189,N171,N162,N150)</f>
        <v>1214501.8600000001</v>
      </c>
    </row>
    <row r="225" spans="1:14" ht="13.5" thickBot="1" x14ac:dyDescent="0.25">
      <c r="A225" s="129"/>
      <c r="F225" s="31"/>
    </row>
    <row r="226" spans="1:14" x14ac:dyDescent="0.2">
      <c r="A226" s="352" t="s">
        <v>280</v>
      </c>
      <c r="B226" s="353"/>
      <c r="C226" s="353"/>
      <c r="D226" s="353"/>
      <c r="E226" s="353"/>
      <c r="F226" s="353"/>
      <c r="G226" s="353"/>
      <c r="H226" s="353"/>
      <c r="I226" s="353"/>
      <c r="J226" s="353"/>
      <c r="K226" s="353"/>
      <c r="L226" s="353"/>
      <c r="M226" s="353"/>
      <c r="N226" s="354"/>
    </row>
    <row r="227" spans="1:14" ht="13.5" thickBot="1" x14ac:dyDescent="0.25">
      <c r="A227" s="355"/>
      <c r="B227" s="356"/>
      <c r="C227" s="356"/>
      <c r="D227" s="356"/>
      <c r="E227" s="356"/>
      <c r="F227" s="356"/>
      <c r="G227" s="356"/>
      <c r="H227" s="356"/>
      <c r="I227" s="356"/>
      <c r="J227" s="356"/>
      <c r="K227" s="356"/>
      <c r="L227" s="356"/>
      <c r="M227" s="356"/>
      <c r="N227" s="357"/>
    </row>
  </sheetData>
  <sheetProtection algorithmName="SHA-512" hashValue="M7dVjHG3HPmzxPs1Gc1o37k6+dEdesoZoFve7L/avd9udTkgbQgtd+E+rGPg1yB51zIwcpY9l/CeMSC5pvcM5A==" saltValue="iBB1Wnm3lbpz5HghpeK42A==" spinCount="100000" sheet="1" objects="1" scenarios="1"/>
  <mergeCells count="8">
    <mergeCell ref="A15:N15"/>
    <mergeCell ref="A226:N227"/>
    <mergeCell ref="A5:N5"/>
    <mergeCell ref="A6:N6"/>
    <mergeCell ref="A10:N10"/>
    <mergeCell ref="A13:N13"/>
    <mergeCell ref="A14:N14"/>
    <mergeCell ref="A11:N11"/>
  </mergeCells>
  <dataValidations count="7">
    <dataValidation type="list" allowBlank="1" showInputMessage="1" showErrorMessage="1" sqref="C82:C83 C77 C73:C74 C64 C56 C148:C149" xr:uid="{E8917A60-1419-4F9A-B6C6-A810ABD61BD0}">
      <formula1>$C$40:$C$42</formula1>
    </dataValidation>
    <dataValidation type="list" allowBlank="1" showInputMessage="1" showErrorMessage="1" sqref="B23" xr:uid="{7E84088A-DFF0-4C4F-BC95-9EB1D5BF4294}">
      <formula1>$A$40:$A$42</formula1>
    </dataValidation>
    <dataValidation type="decimal" errorStyle="warning" allowBlank="1" showInputMessage="1" showErrorMessage="1" errorTitle="VARIANCE REPORT REQUIRED" error="Percentages below 90% or over 110% require a brief explanation in the VARIANCE REPORT/NOTES column." sqref="M19:M26 M39:M41" xr:uid="{8E8C12C1-7DF3-4511-A6ED-95B68156305D}">
      <formula1>0.9</formula1>
      <formula2>1.1</formula2>
    </dataValidation>
    <dataValidation type="decimal" errorStyle="warning" allowBlank="1" showErrorMessage="1" errorTitle="DOCUMENTATION REQUIRED" error="Rates between 10-15%: please provide either Cost Allocation Plan OR Federally-approved Indirect Cost Rate_x000a__x000a_Rates over 15%: please provide Federally-approved Indirect Cost Rate" sqref="F220:F221" xr:uid="{4496E346-E54B-4131-8896-07DE0B6BE27F}">
      <formula1>0</formula1>
      <formula2>0.15</formula2>
    </dataValidation>
    <dataValidation type="list" allowBlank="1" showInputMessage="1" showErrorMessage="1" sqref="C84:C147 C78:C81 C75:C76 C67:C72 C65 C48:C55 C57:C63" xr:uid="{7D3329FF-CC4D-4A46-86BB-51AE24E339E0}">
      <formula1>$C$19:$C$21</formula1>
    </dataValidation>
    <dataValidation type="list" allowBlank="1" showInputMessage="1" showErrorMessage="1" sqref="C66 C61 C70 C72" xr:uid="{2522AFE9-ACDE-46C8-91E0-5A034BF55870}">
      <formula1>$C$18:$C$18</formula1>
    </dataValidation>
    <dataValidation type="decimal" errorStyle="warning" allowBlank="1" showInputMessage="1" showErrorMessage="1" errorTitle="VARIANCE REPORT REQUIRED" error="Percentages below 90% or above 110% require an explanation in the VARIANCE REPORT/NOTES column." sqref="M48:M149" xr:uid="{8E534A88-170D-4D7E-81D6-86EEB1903CF5}">
      <formula1>0.9</formula1>
      <formula2>1.1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DBB9-4966-4B79-9CA1-60FCFD6846E2}">
  <sheetPr>
    <tabColor rgb="FFFFC000"/>
  </sheetPr>
  <dimension ref="A1:N69"/>
  <sheetViews>
    <sheetView zoomScaleNormal="100" workbookViewId="0">
      <selection activeCell="E16" sqref="E16"/>
    </sheetView>
  </sheetViews>
  <sheetFormatPr defaultColWidth="8.85546875" defaultRowHeight="12.75" x14ac:dyDescent="0.2"/>
  <cols>
    <col min="1" max="1" width="53.7109375" style="306" customWidth="1"/>
    <col min="2" max="8" width="19.7109375" style="307" customWidth="1"/>
    <col min="9" max="11" width="17.28515625" style="269" customWidth="1"/>
    <col min="12" max="12" width="17.140625" style="135" customWidth="1"/>
    <col min="13" max="13" width="14.5703125" style="135" bestFit="1" customWidth="1"/>
    <col min="14" max="14" width="16.85546875" style="135" bestFit="1" customWidth="1"/>
    <col min="15" max="16384" width="8.85546875" style="135"/>
  </cols>
  <sheetData>
    <row r="1" spans="1:11" ht="18" x14ac:dyDescent="0.2">
      <c r="A1" s="265" t="s">
        <v>14</v>
      </c>
      <c r="B1" s="266"/>
      <c r="C1" s="267"/>
      <c r="D1" s="268"/>
      <c r="E1" s="268"/>
      <c r="F1" s="268"/>
      <c r="G1" s="268"/>
      <c r="H1" s="268"/>
    </row>
    <row r="2" spans="1:11" ht="18" x14ac:dyDescent="0.2">
      <c r="A2" s="265" t="s">
        <v>281</v>
      </c>
      <c r="B2" s="270"/>
      <c r="C2" s="270"/>
      <c r="D2" s="271"/>
      <c r="E2" s="271"/>
      <c r="F2" s="271"/>
      <c r="G2" s="271"/>
      <c r="H2" s="271"/>
      <c r="I2" s="270"/>
      <c r="J2" s="270"/>
      <c r="K2" s="270"/>
    </row>
    <row r="3" spans="1:11" ht="18" x14ac:dyDescent="0.2">
      <c r="A3" s="265"/>
      <c r="B3" s="270"/>
      <c r="C3" s="270"/>
      <c r="D3" s="271"/>
      <c r="E3" s="271"/>
      <c r="F3" s="271"/>
      <c r="G3" s="271"/>
      <c r="H3" s="271"/>
      <c r="I3" s="270"/>
      <c r="J3" s="270"/>
      <c r="K3" s="270"/>
    </row>
    <row r="4" spans="1:11" ht="18" x14ac:dyDescent="0.2">
      <c r="A4" s="272" t="s">
        <v>282</v>
      </c>
      <c r="B4" s="270"/>
      <c r="C4" s="270"/>
      <c r="D4" s="271"/>
      <c r="E4" s="271"/>
      <c r="F4" s="271"/>
      <c r="G4" s="271"/>
      <c r="H4" s="271"/>
      <c r="I4" s="270"/>
      <c r="J4" s="270"/>
      <c r="K4" s="270"/>
    </row>
    <row r="5" spans="1:11" ht="14.25" customHeight="1" x14ac:dyDescent="0.2">
      <c r="A5" s="273" t="s">
        <v>283</v>
      </c>
      <c r="B5" s="274"/>
      <c r="C5" s="274"/>
      <c r="D5" s="274"/>
      <c r="E5" s="274"/>
      <c r="F5" s="274"/>
      <c r="G5" s="275"/>
      <c r="H5" s="274"/>
      <c r="I5" s="274"/>
      <c r="J5" s="274"/>
    </row>
    <row r="6" spans="1:11" ht="14.25" customHeight="1" x14ac:dyDescent="0.2">
      <c r="A6" s="273" t="s">
        <v>284</v>
      </c>
      <c r="B6" s="274"/>
      <c r="C6" s="274"/>
      <c r="D6" s="274"/>
      <c r="E6" s="274"/>
      <c r="F6" s="274"/>
      <c r="G6" s="275"/>
      <c r="H6" s="274"/>
      <c r="I6" s="274"/>
      <c r="J6" s="274"/>
    </row>
    <row r="7" spans="1:11" ht="14.25" customHeight="1" x14ac:dyDescent="0.2">
      <c r="A7" s="276"/>
      <c r="B7" s="274"/>
      <c r="C7" s="274"/>
      <c r="D7" s="274"/>
      <c r="E7" s="274"/>
      <c r="F7" s="274"/>
      <c r="G7" s="275"/>
      <c r="H7" s="274"/>
      <c r="I7" s="274"/>
      <c r="J7" s="274"/>
    </row>
    <row r="8" spans="1:11" s="273" customFormat="1" ht="30" x14ac:dyDescent="0.2">
      <c r="A8" s="277" t="s">
        <v>285</v>
      </c>
      <c r="B8" s="278" t="s">
        <v>286</v>
      </c>
      <c r="C8" s="278" t="s">
        <v>287</v>
      </c>
      <c r="D8" s="278" t="s">
        <v>288</v>
      </c>
      <c r="E8" s="276"/>
      <c r="F8" s="276"/>
      <c r="H8" s="276"/>
      <c r="J8" s="276"/>
      <c r="K8" s="276"/>
    </row>
    <row r="9" spans="1:11" s="273" customFormat="1" ht="14.25" x14ac:dyDescent="0.2">
      <c r="A9" s="279" t="s">
        <v>289</v>
      </c>
      <c r="B9" s="280">
        <v>800</v>
      </c>
      <c r="C9" s="281">
        <v>714</v>
      </c>
      <c r="D9" s="282">
        <v>1055</v>
      </c>
      <c r="E9" s="276"/>
      <c r="F9" s="276"/>
      <c r="G9" s="276"/>
      <c r="H9" s="276"/>
      <c r="J9" s="276"/>
      <c r="K9" s="276"/>
    </row>
    <row r="10" spans="1:11" s="273" customFormat="1" ht="14.25" x14ac:dyDescent="0.2">
      <c r="A10" s="279" t="s">
        <v>290</v>
      </c>
      <c r="B10" s="280">
        <v>150</v>
      </c>
      <c r="C10" s="281">
        <v>143</v>
      </c>
      <c r="D10" s="283">
        <v>188</v>
      </c>
      <c r="E10" s="276"/>
      <c r="F10" s="276"/>
      <c r="G10" s="276"/>
      <c r="H10" s="276"/>
      <c r="J10" s="276"/>
      <c r="K10" s="276"/>
    </row>
    <row r="11" spans="1:11" s="273" customFormat="1" ht="14.25" x14ac:dyDescent="0.2">
      <c r="A11" s="279" t="s">
        <v>291</v>
      </c>
      <c r="B11" s="276"/>
      <c r="C11" s="281">
        <v>113</v>
      </c>
      <c r="D11" s="283">
        <v>152</v>
      </c>
      <c r="E11" s="276"/>
      <c r="F11" s="276"/>
      <c r="G11" s="276"/>
      <c r="H11" s="276"/>
      <c r="J11" s="276"/>
      <c r="K11" s="276"/>
    </row>
    <row r="12" spans="1:11" s="273" customFormat="1" ht="14.25" x14ac:dyDescent="0.2">
      <c r="A12" s="279" t="s">
        <v>292</v>
      </c>
      <c r="B12" s="276"/>
      <c r="C12" s="281">
        <v>30</v>
      </c>
      <c r="D12" s="283">
        <v>36</v>
      </c>
      <c r="E12" s="276"/>
      <c r="F12" s="276"/>
      <c r="G12" s="276"/>
      <c r="H12" s="276"/>
      <c r="J12" s="276"/>
      <c r="K12" s="276"/>
    </row>
    <row r="13" spans="1:11" s="273" customFormat="1" ht="14.25" x14ac:dyDescent="0.2">
      <c r="A13" s="279" t="s">
        <v>293</v>
      </c>
      <c r="B13" s="276"/>
      <c r="C13" s="281">
        <v>77</v>
      </c>
      <c r="D13" s="283">
        <v>126</v>
      </c>
      <c r="E13" s="276"/>
      <c r="F13" s="276"/>
      <c r="G13" s="276"/>
      <c r="H13" s="276"/>
      <c r="J13" s="276"/>
      <c r="K13" s="276"/>
    </row>
    <row r="14" spans="1:11" s="273" customFormat="1" ht="14.25" x14ac:dyDescent="0.2">
      <c r="A14" s="279" t="s">
        <v>294</v>
      </c>
      <c r="B14" s="276"/>
      <c r="C14" s="281">
        <v>1</v>
      </c>
      <c r="D14" s="283">
        <v>2</v>
      </c>
      <c r="E14" s="276"/>
      <c r="F14" s="276"/>
      <c r="G14" s="276"/>
      <c r="H14" s="276"/>
      <c r="J14" s="276"/>
      <c r="K14" s="276"/>
    </row>
    <row r="15" spans="1:11" s="273" customFormat="1" ht="14.25" x14ac:dyDescent="0.2">
      <c r="A15" s="279" t="s">
        <v>295</v>
      </c>
      <c r="B15" s="276"/>
      <c r="C15" s="281">
        <v>12</v>
      </c>
      <c r="D15" s="283">
        <v>19</v>
      </c>
      <c r="E15" s="276"/>
      <c r="F15" s="276"/>
      <c r="G15" s="276"/>
      <c r="H15" s="276"/>
      <c r="J15" s="276"/>
      <c r="K15" s="276"/>
    </row>
    <row r="16" spans="1:11" s="273" customFormat="1" ht="14.25" x14ac:dyDescent="0.2">
      <c r="A16" s="284"/>
      <c r="B16" s="285"/>
      <c r="C16" s="285"/>
      <c r="D16" s="285"/>
      <c r="F16" s="276"/>
      <c r="G16" s="276"/>
      <c r="H16" s="285"/>
      <c r="I16" s="285"/>
    </row>
    <row r="17" spans="1:11" s="273" customFormat="1" ht="14.25" x14ac:dyDescent="0.2">
      <c r="A17" s="284"/>
      <c r="B17" s="285"/>
      <c r="C17" s="285"/>
      <c r="D17" s="285"/>
      <c r="F17" s="276"/>
      <c r="G17" s="276"/>
      <c r="H17" s="285"/>
      <c r="I17" s="285"/>
    </row>
    <row r="18" spans="1:11" s="273" customFormat="1" ht="16.5" customHeight="1" x14ac:dyDescent="0.2">
      <c r="A18" s="376" t="s">
        <v>296</v>
      </c>
      <c r="B18" s="369" t="s">
        <v>287</v>
      </c>
      <c r="C18" s="370"/>
      <c r="D18" s="371"/>
      <c r="E18" s="369" t="s">
        <v>288</v>
      </c>
      <c r="F18" s="370"/>
      <c r="G18" s="371"/>
    </row>
    <row r="19" spans="1:11" s="273" customFormat="1" ht="45" x14ac:dyDescent="0.2">
      <c r="A19" s="376"/>
      <c r="B19" s="278" t="s">
        <v>297</v>
      </c>
      <c r="C19" s="278" t="s">
        <v>298</v>
      </c>
      <c r="D19" s="278" t="s">
        <v>299</v>
      </c>
      <c r="E19" s="278" t="s">
        <v>297</v>
      </c>
      <c r="F19" s="278" t="s">
        <v>298</v>
      </c>
      <c r="G19" s="278" t="s">
        <v>299</v>
      </c>
      <c r="H19" s="276"/>
    </row>
    <row r="20" spans="1:11" s="273" customFormat="1" ht="14.25" x14ac:dyDescent="0.2">
      <c r="A20" s="279" t="s">
        <v>300</v>
      </c>
      <c r="B20" s="281">
        <v>2</v>
      </c>
      <c r="C20" s="281">
        <v>1</v>
      </c>
      <c r="D20" s="281">
        <v>0</v>
      </c>
      <c r="E20" s="282">
        <v>2</v>
      </c>
      <c r="F20" s="286">
        <v>1</v>
      </c>
      <c r="G20" s="286">
        <v>0</v>
      </c>
      <c r="H20" s="276"/>
    </row>
    <row r="21" spans="1:11" s="273" customFormat="1" ht="14.25" x14ac:dyDescent="0.2">
      <c r="A21" s="279" t="s">
        <v>301</v>
      </c>
      <c r="B21" s="281">
        <v>0</v>
      </c>
      <c r="C21" s="281">
        <v>7</v>
      </c>
      <c r="D21" s="281">
        <v>0</v>
      </c>
      <c r="E21" s="283">
        <v>0</v>
      </c>
      <c r="F21" s="287">
        <v>10</v>
      </c>
      <c r="G21" s="287">
        <v>0</v>
      </c>
      <c r="H21" s="276"/>
    </row>
    <row r="22" spans="1:11" s="273" customFormat="1" ht="14.25" x14ac:dyDescent="0.2">
      <c r="A22" s="279" t="s">
        <v>302</v>
      </c>
      <c r="B22" s="281">
        <v>3</v>
      </c>
      <c r="C22" s="281">
        <v>27</v>
      </c>
      <c r="D22" s="281">
        <v>3</v>
      </c>
      <c r="E22" s="283">
        <v>3</v>
      </c>
      <c r="F22" s="287">
        <v>33</v>
      </c>
      <c r="G22" s="287">
        <v>4</v>
      </c>
      <c r="H22" s="276"/>
    </row>
    <row r="23" spans="1:11" s="273" customFormat="1" ht="14.25" x14ac:dyDescent="0.2">
      <c r="A23" s="279" t="s">
        <v>303</v>
      </c>
      <c r="B23" s="281">
        <v>0</v>
      </c>
      <c r="C23" s="281">
        <v>1</v>
      </c>
      <c r="D23" s="281">
        <v>0</v>
      </c>
      <c r="E23" s="283">
        <v>0</v>
      </c>
      <c r="F23" s="287">
        <v>1</v>
      </c>
      <c r="G23" s="287">
        <v>0</v>
      </c>
      <c r="H23" s="276"/>
    </row>
    <row r="24" spans="1:11" s="273" customFormat="1" ht="14.25" x14ac:dyDescent="0.2">
      <c r="A24" s="279" t="s">
        <v>304</v>
      </c>
      <c r="B24" s="281">
        <v>14</v>
      </c>
      <c r="C24" s="281">
        <v>42</v>
      </c>
      <c r="D24" s="281">
        <v>1</v>
      </c>
      <c r="E24" s="283">
        <v>23</v>
      </c>
      <c r="F24" s="287">
        <v>53</v>
      </c>
      <c r="G24" s="287">
        <v>3</v>
      </c>
      <c r="H24" s="276"/>
    </row>
    <row r="25" spans="1:11" s="273" customFormat="1" ht="14.25" x14ac:dyDescent="0.2">
      <c r="A25" s="279" t="s">
        <v>305</v>
      </c>
      <c r="B25" s="281">
        <v>2</v>
      </c>
      <c r="C25" s="281">
        <v>4</v>
      </c>
      <c r="D25" s="281">
        <v>0</v>
      </c>
      <c r="E25" s="283">
        <v>2</v>
      </c>
      <c r="F25" s="287">
        <v>5</v>
      </c>
      <c r="G25" s="287">
        <v>0</v>
      </c>
      <c r="H25" s="276"/>
    </row>
    <row r="26" spans="1:11" s="273" customFormat="1" ht="14.25" x14ac:dyDescent="0.2">
      <c r="A26" s="279" t="s">
        <v>306</v>
      </c>
      <c r="B26" s="281">
        <v>21</v>
      </c>
      <c r="C26" s="281">
        <v>6</v>
      </c>
      <c r="D26" s="281">
        <v>0</v>
      </c>
      <c r="E26" s="283">
        <v>24</v>
      </c>
      <c r="F26" s="287">
        <v>8</v>
      </c>
      <c r="G26" s="287">
        <v>0</v>
      </c>
      <c r="H26" s="276"/>
    </row>
    <row r="27" spans="1:11" s="273" customFormat="1" ht="14.25" x14ac:dyDescent="0.2">
      <c r="A27" s="279" t="s">
        <v>299</v>
      </c>
      <c r="B27" s="281">
        <v>1</v>
      </c>
      <c r="C27" s="281">
        <v>2</v>
      </c>
      <c r="D27" s="281">
        <v>6</v>
      </c>
      <c r="E27" s="283">
        <v>3</v>
      </c>
      <c r="F27" s="287">
        <v>4</v>
      </c>
      <c r="G27" s="287">
        <v>9</v>
      </c>
      <c r="H27" s="276"/>
    </row>
    <row r="28" spans="1:11" s="273" customFormat="1" ht="15" x14ac:dyDescent="0.2">
      <c r="A28" s="288" t="s">
        <v>290</v>
      </c>
      <c r="B28" s="289">
        <f>SUM(B20:B27)</f>
        <v>43</v>
      </c>
      <c r="C28" s="289">
        <f t="shared" ref="C28:E28" si="0">SUM(C20:C27)</f>
        <v>90</v>
      </c>
      <c r="D28" s="289">
        <f t="shared" si="0"/>
        <v>10</v>
      </c>
      <c r="E28" s="289">
        <f t="shared" si="0"/>
        <v>57</v>
      </c>
      <c r="F28" s="289">
        <f t="shared" ref="F28:G28" si="1">SUM(F20:F27)</f>
        <v>115</v>
      </c>
      <c r="G28" s="289">
        <f t="shared" si="1"/>
        <v>16</v>
      </c>
      <c r="H28" s="276"/>
    </row>
    <row r="29" spans="1:11" s="273" customFormat="1" ht="14.25" x14ac:dyDescent="0.2">
      <c r="B29" s="285"/>
      <c r="C29" s="285"/>
      <c r="D29" s="285"/>
      <c r="E29" s="276"/>
      <c r="F29" s="276"/>
      <c r="G29" s="276"/>
      <c r="H29" s="276"/>
      <c r="J29" s="276"/>
      <c r="K29" s="276"/>
    </row>
    <row r="30" spans="1:11" s="273" customFormat="1" ht="14.25" x14ac:dyDescent="0.2">
      <c r="B30" s="285"/>
      <c r="C30" s="285"/>
      <c r="D30" s="285"/>
      <c r="E30" s="276"/>
      <c r="F30" s="276"/>
      <c r="G30" s="276"/>
      <c r="H30" s="276"/>
      <c r="J30" s="276"/>
      <c r="K30" s="276"/>
    </row>
    <row r="31" spans="1:11" s="273" customFormat="1" ht="35.1" customHeight="1" x14ac:dyDescent="0.2">
      <c r="A31" s="277" t="s">
        <v>307</v>
      </c>
      <c r="B31" s="278" t="s">
        <v>308</v>
      </c>
      <c r="C31" s="278" t="s">
        <v>288</v>
      </c>
      <c r="D31" s="276"/>
      <c r="E31" s="376" t="s">
        <v>309</v>
      </c>
      <c r="F31" s="376"/>
      <c r="G31" s="278" t="s">
        <v>310</v>
      </c>
      <c r="H31" s="278" t="s">
        <v>311</v>
      </c>
      <c r="I31" s="276"/>
      <c r="J31" s="276"/>
    </row>
    <row r="32" spans="1:11" s="273" customFormat="1" ht="14.25" x14ac:dyDescent="0.2">
      <c r="A32" s="279">
        <v>90401</v>
      </c>
      <c r="B32" s="281">
        <v>24</v>
      </c>
      <c r="C32" s="282">
        <v>28</v>
      </c>
      <c r="D32" s="276"/>
      <c r="E32" s="374" t="s">
        <v>312</v>
      </c>
      <c r="F32" s="374"/>
      <c r="G32" s="291"/>
      <c r="H32" s="292">
        <v>0</v>
      </c>
      <c r="I32" s="276"/>
      <c r="J32" s="276"/>
    </row>
    <row r="33" spans="1:11" s="273" customFormat="1" ht="14.25" x14ac:dyDescent="0.2">
      <c r="A33" s="279">
        <v>90402</v>
      </c>
      <c r="B33" s="281">
        <v>2</v>
      </c>
      <c r="C33" s="283">
        <v>2</v>
      </c>
      <c r="D33" s="276"/>
      <c r="E33" s="372" t="s">
        <v>313</v>
      </c>
      <c r="F33" s="372"/>
      <c r="G33" s="294"/>
      <c r="H33" s="295">
        <v>0</v>
      </c>
      <c r="I33" s="276"/>
      <c r="J33" s="276"/>
    </row>
    <row r="34" spans="1:11" s="273" customFormat="1" ht="14.25" x14ac:dyDescent="0.2">
      <c r="A34" s="279">
        <v>90403</v>
      </c>
      <c r="B34" s="281">
        <v>4</v>
      </c>
      <c r="C34" s="283">
        <v>8</v>
      </c>
      <c r="D34" s="276"/>
      <c r="E34" s="372" t="s">
        <v>314</v>
      </c>
      <c r="F34" s="372"/>
      <c r="G34" s="294"/>
      <c r="H34" s="295">
        <v>0</v>
      </c>
      <c r="I34" s="276"/>
      <c r="J34" s="276"/>
    </row>
    <row r="35" spans="1:11" s="273" customFormat="1" ht="14.25" x14ac:dyDescent="0.2">
      <c r="A35" s="279">
        <v>90404</v>
      </c>
      <c r="B35" s="281">
        <v>44</v>
      </c>
      <c r="C35" s="283">
        <v>58</v>
      </c>
      <c r="D35" s="276"/>
      <c r="E35" s="374" t="s">
        <v>315</v>
      </c>
      <c r="F35" s="374"/>
      <c r="G35" s="294">
        <v>7</v>
      </c>
      <c r="H35" s="295">
        <v>13</v>
      </c>
      <c r="I35" s="276"/>
      <c r="J35" s="276"/>
    </row>
    <row r="36" spans="1:11" s="273" customFormat="1" ht="14.25" x14ac:dyDescent="0.2">
      <c r="A36" s="279">
        <v>90405</v>
      </c>
      <c r="B36" s="281">
        <v>26</v>
      </c>
      <c r="C36" s="283">
        <v>32</v>
      </c>
      <c r="D36" s="276"/>
      <c r="E36" s="374" t="s">
        <v>316</v>
      </c>
      <c r="F36" s="374"/>
      <c r="G36" s="294">
        <v>25</v>
      </c>
      <c r="H36" s="295">
        <v>35</v>
      </c>
      <c r="I36" s="276"/>
      <c r="J36" s="276"/>
    </row>
    <row r="37" spans="1:11" s="273" customFormat="1" ht="14.25" x14ac:dyDescent="0.2">
      <c r="A37" s="279" t="s">
        <v>317</v>
      </c>
      <c r="B37" s="281">
        <v>43</v>
      </c>
      <c r="C37" s="283">
        <v>60</v>
      </c>
      <c r="D37" s="276"/>
      <c r="E37" s="374" t="s">
        <v>318</v>
      </c>
      <c r="F37" s="374"/>
      <c r="G37" s="294">
        <v>30</v>
      </c>
      <c r="H37" s="295">
        <v>45</v>
      </c>
      <c r="I37" s="276"/>
      <c r="J37" s="276"/>
    </row>
    <row r="38" spans="1:11" s="273" customFormat="1" ht="15" x14ac:dyDescent="0.2">
      <c r="A38" s="288" t="s">
        <v>290</v>
      </c>
      <c r="B38" s="289">
        <f>SUM(B32:B37)</f>
        <v>143</v>
      </c>
      <c r="C38" s="289">
        <f>SUM(C32:C37)</f>
        <v>188</v>
      </c>
      <c r="D38" s="285"/>
      <c r="E38" s="374" t="s">
        <v>319</v>
      </c>
      <c r="F38" s="374"/>
      <c r="G38" s="294">
        <v>30</v>
      </c>
      <c r="H38" s="295">
        <v>31</v>
      </c>
      <c r="I38" s="276"/>
      <c r="J38" s="276"/>
    </row>
    <row r="39" spans="1:11" s="273" customFormat="1" ht="14.25" x14ac:dyDescent="0.2">
      <c r="B39" s="276"/>
      <c r="C39" s="285"/>
      <c r="E39" s="374" t="s">
        <v>320</v>
      </c>
      <c r="F39" s="374"/>
      <c r="G39" s="294">
        <v>26</v>
      </c>
      <c r="H39" s="295">
        <v>33</v>
      </c>
      <c r="J39" s="276"/>
      <c r="K39" s="276"/>
    </row>
    <row r="40" spans="1:11" s="273" customFormat="1" ht="14.25" x14ac:dyDescent="0.2">
      <c r="E40" s="374" t="s">
        <v>321</v>
      </c>
      <c r="F40" s="374"/>
      <c r="G40" s="294">
        <v>23</v>
      </c>
      <c r="H40" s="295">
        <v>28</v>
      </c>
    </row>
    <row r="41" spans="1:11" s="273" customFormat="1" ht="14.25" x14ac:dyDescent="0.2">
      <c r="E41" s="374" t="s">
        <v>322</v>
      </c>
      <c r="F41" s="374"/>
      <c r="G41" s="294">
        <v>2</v>
      </c>
      <c r="H41" s="295">
        <v>3</v>
      </c>
    </row>
    <row r="42" spans="1:11" s="273" customFormat="1" ht="14.25" x14ac:dyDescent="0.2">
      <c r="E42" s="374" t="s">
        <v>323</v>
      </c>
      <c r="F42" s="374"/>
      <c r="G42" s="294"/>
      <c r="H42" s="295">
        <v>0</v>
      </c>
    </row>
    <row r="43" spans="1:11" s="273" customFormat="1" ht="14.25" x14ac:dyDescent="0.2">
      <c r="E43" s="377" t="s">
        <v>317</v>
      </c>
      <c r="F43" s="378"/>
      <c r="G43" s="294"/>
      <c r="H43" s="295">
        <v>0</v>
      </c>
    </row>
    <row r="44" spans="1:11" s="273" customFormat="1" ht="15" x14ac:dyDescent="0.2">
      <c r="E44" s="373" t="s">
        <v>290</v>
      </c>
      <c r="F44" s="373"/>
      <c r="G44" s="297">
        <f>SUM(G32:G43)</f>
        <v>143</v>
      </c>
      <c r="H44" s="297">
        <f>SUM(H32:H43)</f>
        <v>188</v>
      </c>
    </row>
    <row r="45" spans="1:11" s="273" customFormat="1" ht="14.25" x14ac:dyDescent="0.2"/>
    <row r="46" spans="1:11" s="273" customFormat="1" ht="14.25" x14ac:dyDescent="0.2"/>
    <row r="47" spans="1:11" s="273" customFormat="1" ht="42" customHeight="1" x14ac:dyDescent="0.2">
      <c r="A47" s="298" t="s">
        <v>324</v>
      </c>
      <c r="B47" s="299" t="s">
        <v>310</v>
      </c>
      <c r="C47" s="299" t="s">
        <v>288</v>
      </c>
      <c r="E47" s="379" t="s">
        <v>325</v>
      </c>
      <c r="F47" s="379"/>
      <c r="G47" s="299" t="s">
        <v>310</v>
      </c>
      <c r="H47" s="299" t="s">
        <v>288</v>
      </c>
    </row>
    <row r="48" spans="1:11" s="273" customFormat="1" ht="14.25" x14ac:dyDescent="0.2">
      <c r="A48" s="290" t="s">
        <v>326</v>
      </c>
      <c r="B48" s="300">
        <v>81</v>
      </c>
      <c r="C48" s="300">
        <v>105</v>
      </c>
      <c r="E48" s="374" t="s">
        <v>327</v>
      </c>
      <c r="F48" s="374"/>
      <c r="G48" s="301">
        <v>0</v>
      </c>
      <c r="H48" s="301"/>
    </row>
    <row r="49" spans="1:14" s="273" customFormat="1" ht="14.25" x14ac:dyDescent="0.2">
      <c r="A49" s="293" t="s">
        <v>328</v>
      </c>
      <c r="B49" s="302">
        <v>62</v>
      </c>
      <c r="C49" s="300">
        <v>82</v>
      </c>
      <c r="E49" s="372" t="s">
        <v>329</v>
      </c>
      <c r="F49" s="372"/>
      <c r="G49" s="303">
        <v>0</v>
      </c>
      <c r="H49" s="301"/>
    </row>
    <row r="50" spans="1:14" s="273" customFormat="1" ht="14.25" x14ac:dyDescent="0.2">
      <c r="A50" s="293" t="s">
        <v>330</v>
      </c>
      <c r="B50" s="302"/>
      <c r="C50" s="300"/>
      <c r="E50" s="372" t="s">
        <v>331</v>
      </c>
      <c r="F50" s="372"/>
      <c r="G50" s="303">
        <v>0</v>
      </c>
      <c r="H50" s="301"/>
    </row>
    <row r="51" spans="1:14" s="273" customFormat="1" ht="14.25" x14ac:dyDescent="0.2">
      <c r="A51" s="293" t="s">
        <v>332</v>
      </c>
      <c r="B51" s="302"/>
      <c r="C51" s="300"/>
      <c r="E51" s="374" t="s">
        <v>333</v>
      </c>
      <c r="F51" s="374"/>
      <c r="G51" s="303">
        <v>0</v>
      </c>
      <c r="H51" s="301"/>
    </row>
    <row r="52" spans="1:14" s="273" customFormat="1" ht="14.25" x14ac:dyDescent="0.2">
      <c r="A52" s="290" t="s">
        <v>334</v>
      </c>
      <c r="B52" s="302"/>
      <c r="C52" s="300"/>
      <c r="E52" s="374" t="s">
        <v>335</v>
      </c>
      <c r="F52" s="374"/>
      <c r="G52" s="303">
        <v>0</v>
      </c>
      <c r="H52" s="301"/>
    </row>
    <row r="53" spans="1:14" s="273" customFormat="1" ht="14.25" x14ac:dyDescent="0.2">
      <c r="A53" s="290" t="s">
        <v>336</v>
      </c>
      <c r="B53" s="302"/>
      <c r="C53" s="300"/>
      <c r="E53" s="374" t="s">
        <v>337</v>
      </c>
      <c r="F53" s="374"/>
      <c r="G53" s="303">
        <v>0</v>
      </c>
      <c r="H53" s="301"/>
    </row>
    <row r="54" spans="1:14" s="273" customFormat="1" ht="15" x14ac:dyDescent="0.2">
      <c r="A54" s="290" t="s">
        <v>338</v>
      </c>
      <c r="B54" s="302"/>
      <c r="C54" s="300"/>
      <c r="E54" s="373" t="s">
        <v>339</v>
      </c>
      <c r="F54" s="373"/>
      <c r="G54" s="303">
        <v>0</v>
      </c>
      <c r="H54" s="304">
        <v>188</v>
      </c>
    </row>
    <row r="55" spans="1:14" ht="15" x14ac:dyDescent="0.2">
      <c r="A55" s="290" t="s">
        <v>337</v>
      </c>
      <c r="B55" s="302"/>
      <c r="C55" s="300">
        <v>1</v>
      </c>
      <c r="D55" s="135"/>
      <c r="E55" s="375" t="s">
        <v>290</v>
      </c>
      <c r="F55" s="375"/>
      <c r="G55" s="297">
        <f>SUM(G48:G54)</f>
        <v>0</v>
      </c>
      <c r="H55" s="297">
        <f>SUM(H48:H54)</f>
        <v>188</v>
      </c>
      <c r="I55" s="135"/>
      <c r="J55" s="135"/>
      <c r="K55" s="135"/>
    </row>
    <row r="56" spans="1:14" ht="15" x14ac:dyDescent="0.2">
      <c r="A56" s="296" t="s">
        <v>339</v>
      </c>
      <c r="B56" s="305"/>
      <c r="C56" s="302"/>
      <c r="D56" s="135"/>
      <c r="E56" s="135"/>
      <c r="F56" s="135"/>
      <c r="G56" s="135"/>
      <c r="H56" s="135"/>
      <c r="I56" s="135"/>
      <c r="J56" s="135"/>
      <c r="K56" s="135"/>
    </row>
    <row r="57" spans="1:14" ht="15" x14ac:dyDescent="0.2">
      <c r="A57" s="288" t="s">
        <v>290</v>
      </c>
      <c r="B57" s="297">
        <f>SUM(B48:B56)</f>
        <v>143</v>
      </c>
      <c r="C57" s="297">
        <f>SUM(C48:C56)</f>
        <v>188</v>
      </c>
      <c r="D57" s="135"/>
      <c r="E57" s="135"/>
      <c r="F57" s="135"/>
      <c r="G57" s="135"/>
      <c r="H57" s="135"/>
      <c r="I57" s="135"/>
      <c r="J57" s="135"/>
      <c r="K57" s="135"/>
    </row>
    <row r="58" spans="1:14" s="269" customFormat="1" x14ac:dyDescent="0.2">
      <c r="A58" s="306"/>
      <c r="B58" s="307"/>
      <c r="D58" s="307"/>
      <c r="E58" s="135"/>
      <c r="F58" s="135"/>
      <c r="G58" s="135"/>
      <c r="H58" s="135"/>
      <c r="L58" s="135"/>
      <c r="M58" s="135"/>
      <c r="N58" s="135"/>
    </row>
    <row r="59" spans="1:14" s="269" customFormat="1" x14ac:dyDescent="0.2">
      <c r="A59" s="306"/>
      <c r="B59" s="307"/>
      <c r="D59" s="307"/>
      <c r="E59" s="307"/>
      <c r="F59" s="307"/>
      <c r="G59" s="307"/>
      <c r="H59" s="307"/>
      <c r="L59" s="135"/>
      <c r="M59" s="135"/>
      <c r="N59" s="135"/>
    </row>
    <row r="60" spans="1:14" s="273" customFormat="1" ht="30" customHeight="1" x14ac:dyDescent="0.2">
      <c r="A60" s="306"/>
      <c r="B60" s="307"/>
      <c r="C60" s="307"/>
    </row>
    <row r="61" spans="1:14" s="273" customFormat="1" ht="14.25" x14ac:dyDescent="0.2">
      <c r="A61" s="306"/>
      <c r="B61" s="307"/>
      <c r="C61" s="269"/>
    </row>
    <row r="62" spans="1:14" s="273" customFormat="1" ht="14.25" x14ac:dyDescent="0.2"/>
    <row r="63" spans="1:14" s="273" customFormat="1" ht="14.25" x14ac:dyDescent="0.2"/>
    <row r="64" spans="1:14" s="273" customFormat="1" ht="14.25" x14ac:dyDescent="0.2"/>
    <row r="65" spans="1:11" s="273" customFormat="1" ht="14.25" x14ac:dyDescent="0.2"/>
    <row r="66" spans="1:11" s="273" customFormat="1" ht="14.25" x14ac:dyDescent="0.2">
      <c r="I66" s="135"/>
    </row>
    <row r="67" spans="1:11" ht="14.25" x14ac:dyDescent="0.2">
      <c r="A67" s="273"/>
      <c r="B67" s="273"/>
      <c r="C67" s="273"/>
      <c r="D67" s="135"/>
      <c r="E67" s="135"/>
      <c r="F67" s="135"/>
      <c r="G67" s="135"/>
      <c r="H67" s="135"/>
      <c r="J67" s="135"/>
      <c r="K67" s="135"/>
    </row>
    <row r="68" spans="1:11" ht="14.25" x14ac:dyDescent="0.2">
      <c r="A68" s="273"/>
      <c r="B68" s="273"/>
      <c r="C68" s="273"/>
    </row>
    <row r="69" spans="1:11" x14ac:dyDescent="0.2">
      <c r="A69" s="135"/>
      <c r="B69" s="135"/>
      <c r="C69" s="135"/>
    </row>
  </sheetData>
  <sheetProtection algorithmName="SHA-512" hashValue="SM0AIMT4xeRDTmE2LapyI71jLoD63JHEWYZJWMs6SMJfHF2jfJ7fwwU+LB1lGWHsVdoOiaiRnRRwI2+jOJno0g==" saltValue="UstKcBmYJcf6/fd+nh2Xlg==" spinCount="100000" sheet="1" objects="1" scenarios="1"/>
  <mergeCells count="26">
    <mergeCell ref="E54:F54"/>
    <mergeCell ref="E52:F52"/>
    <mergeCell ref="E53:F53"/>
    <mergeCell ref="E55:F55"/>
    <mergeCell ref="A18:A19"/>
    <mergeCell ref="E49:F49"/>
    <mergeCell ref="E50:F50"/>
    <mergeCell ref="E51:F51"/>
    <mergeCell ref="E31:F31"/>
    <mergeCell ref="E32:F32"/>
    <mergeCell ref="E18:G18"/>
    <mergeCell ref="E43:F43"/>
    <mergeCell ref="E35:F35"/>
    <mergeCell ref="E47:F47"/>
    <mergeCell ref="E48:F48"/>
    <mergeCell ref="E33:F33"/>
    <mergeCell ref="B18:D18"/>
    <mergeCell ref="E34:F34"/>
    <mergeCell ref="E44:F44"/>
    <mergeCell ref="E42:F42"/>
    <mergeCell ref="E41:F41"/>
    <mergeCell ref="E40:F40"/>
    <mergeCell ref="E39:F39"/>
    <mergeCell ref="E38:F38"/>
    <mergeCell ref="E37:F37"/>
    <mergeCell ref="E36:F3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92D050"/>
    <pageSetUpPr fitToPage="1"/>
  </sheetPr>
  <dimension ref="A1:H22"/>
  <sheetViews>
    <sheetView topLeftCell="B1" zoomScaleNormal="100" zoomScaleSheetLayoutView="100" workbookViewId="0">
      <selection activeCell="B1" sqref="A1:XFD1048576"/>
    </sheetView>
  </sheetViews>
  <sheetFormatPr defaultColWidth="11.42578125" defaultRowHeight="12" x14ac:dyDescent="0.2"/>
  <cols>
    <col min="1" max="1" width="9.85546875" style="32" hidden="1" customWidth="1"/>
    <col min="2" max="2" width="48.85546875" style="32" customWidth="1"/>
    <col min="3" max="3" width="15.42578125" style="31" customWidth="1"/>
    <col min="4" max="4" width="19.140625" style="31" customWidth="1"/>
    <col min="5" max="5" width="19.7109375" style="31" customWidth="1"/>
    <col min="6" max="6" width="19.42578125" style="31" customWidth="1"/>
    <col min="7" max="7" width="31.42578125" style="31" customWidth="1"/>
    <col min="8" max="16384" width="11.42578125" style="32"/>
  </cols>
  <sheetData>
    <row r="1" spans="1:7" ht="18" x14ac:dyDescent="0.25">
      <c r="A1" s="16"/>
      <c r="B1" s="23" t="s">
        <v>14</v>
      </c>
      <c r="C1" s="32"/>
      <c r="D1" s="32"/>
      <c r="E1" s="32"/>
      <c r="F1" s="32"/>
      <c r="G1" s="32"/>
    </row>
    <row r="2" spans="1:7" ht="18" x14ac:dyDescent="0.25">
      <c r="A2" s="16"/>
      <c r="B2" s="23" t="s">
        <v>340</v>
      </c>
      <c r="C2" s="32"/>
      <c r="D2" s="32"/>
      <c r="E2" s="32"/>
      <c r="F2" s="32"/>
      <c r="G2" s="32"/>
    </row>
    <row r="3" spans="1:7" ht="36" customHeight="1" x14ac:dyDescent="0.2">
      <c r="A3" s="98"/>
      <c r="B3" s="382" t="s">
        <v>341</v>
      </c>
      <c r="C3" s="383"/>
      <c r="D3" s="383"/>
      <c r="E3" s="383"/>
      <c r="F3" s="384"/>
      <c r="G3" s="32"/>
    </row>
    <row r="4" spans="1:7" ht="18" x14ac:dyDescent="0.25">
      <c r="A4" s="16"/>
      <c r="B4" s="23"/>
      <c r="C4" s="32"/>
      <c r="D4" s="32"/>
      <c r="E4" s="32"/>
      <c r="F4" s="32"/>
      <c r="G4" s="32"/>
    </row>
    <row r="5" spans="1:7" ht="22.5" customHeight="1" x14ac:dyDescent="0.25">
      <c r="A5" s="16"/>
      <c r="B5" s="77" t="str">
        <f>'FISCAL REPORT'!B19</f>
        <v>The Chrysalis Center</v>
      </c>
      <c r="C5" s="77"/>
      <c r="D5" s="78"/>
      <c r="E5" s="78"/>
      <c r="F5" s="78"/>
      <c r="G5" s="32"/>
    </row>
    <row r="6" spans="1:7" ht="22.5" customHeight="1" x14ac:dyDescent="0.25">
      <c r="A6" s="16"/>
      <c r="B6" s="77" t="str">
        <f>'FISCAL REPORT'!B20</f>
        <v>Chrysalis Santa Monica Employment Center (SMEC)</v>
      </c>
      <c r="C6" s="79"/>
      <c r="D6" s="80"/>
      <c r="E6" s="80"/>
      <c r="F6" s="80"/>
      <c r="G6" s="32"/>
    </row>
    <row r="7" spans="1:7" ht="8.25" customHeight="1" thickBot="1" x14ac:dyDescent="0.25">
      <c r="A7" s="16"/>
      <c r="B7" s="24"/>
      <c r="C7" s="32"/>
      <c r="D7" s="32"/>
      <c r="E7" s="32"/>
      <c r="F7" s="32"/>
      <c r="G7" s="32"/>
    </row>
    <row r="8" spans="1:7" ht="52.5" customHeight="1" x14ac:dyDescent="0.55000000000000004">
      <c r="B8" s="34" t="s">
        <v>342</v>
      </c>
      <c r="C8" s="35" t="s">
        <v>343</v>
      </c>
      <c r="D8" s="35"/>
      <c r="E8" s="35" t="s">
        <v>344</v>
      </c>
      <c r="F8" s="36"/>
      <c r="G8" s="32"/>
    </row>
    <row r="9" spans="1:7" ht="14.25" x14ac:dyDescent="0.2">
      <c r="B9" s="37" t="s">
        <v>345</v>
      </c>
      <c r="C9" s="97">
        <f>'PARTICIPANT DEMOGRAPHICS'!B9</f>
        <v>800</v>
      </c>
      <c r="D9" s="97"/>
      <c r="E9" s="97">
        <f>'PARTICIPANT DEMOGRAPHICS'!D9</f>
        <v>1055</v>
      </c>
      <c r="F9" s="40"/>
      <c r="G9" s="32"/>
    </row>
    <row r="10" spans="1:7" ht="14.25" x14ac:dyDescent="0.2">
      <c r="B10" s="41" t="s">
        <v>346</v>
      </c>
      <c r="C10" s="97">
        <f>'PARTICIPANT DEMOGRAPHICS'!B10</f>
        <v>150</v>
      </c>
      <c r="D10" s="39"/>
      <c r="E10" s="97">
        <f>'PARTICIPANT DEMOGRAPHICS'!D10</f>
        <v>188</v>
      </c>
      <c r="F10" s="40"/>
      <c r="G10" s="32"/>
    </row>
    <row r="11" spans="1:7" ht="14.25" x14ac:dyDescent="0.2">
      <c r="B11" s="37" t="s">
        <v>347</v>
      </c>
      <c r="C11" s="57">
        <f>IFERROR(C10/C9, "N/A")</f>
        <v>0.1875</v>
      </c>
      <c r="D11" s="43"/>
      <c r="E11" s="86">
        <f>IFERROR(E10/E9, "N/A")</f>
        <v>0.17819905213270143</v>
      </c>
      <c r="F11" s="40"/>
      <c r="G11" s="32"/>
    </row>
    <row r="12" spans="1:7" ht="14.25" x14ac:dyDescent="0.2">
      <c r="B12" s="37"/>
      <c r="C12" s="42"/>
      <c r="D12" s="43"/>
      <c r="E12" s="38"/>
      <c r="F12" s="40"/>
      <c r="G12" s="32"/>
    </row>
    <row r="13" spans="1:7" ht="63.75" customHeight="1" x14ac:dyDescent="0.55000000000000004">
      <c r="B13" s="44" t="s">
        <v>348</v>
      </c>
      <c r="C13" s="113" t="s">
        <v>349</v>
      </c>
      <c r="D13" s="113" t="s">
        <v>350</v>
      </c>
      <c r="E13" s="113" t="s">
        <v>351</v>
      </c>
      <c r="F13" s="114" t="s">
        <v>352</v>
      </c>
      <c r="G13" s="32"/>
    </row>
    <row r="14" spans="1:7" ht="16.5" customHeight="1" x14ac:dyDescent="0.2">
      <c r="B14" s="37" t="s">
        <v>353</v>
      </c>
      <c r="C14" s="81">
        <f>'FISCAL REPORT'!G26</f>
        <v>2811277.4924700088</v>
      </c>
      <c r="D14" s="81">
        <f>'FISCAL REPORT'!H26</f>
        <v>282783.61</v>
      </c>
      <c r="E14" s="81">
        <f>'FISCAL REPORT'!N26</f>
        <v>1214501.8600000001</v>
      </c>
      <c r="F14" s="82">
        <f>'FISCAL REPORT'!L26</f>
        <v>282782.65000000002</v>
      </c>
      <c r="G14" s="32"/>
    </row>
    <row r="15" spans="1:7" ht="16.5" customHeight="1" x14ac:dyDescent="0.2">
      <c r="B15" s="37"/>
      <c r="C15" s="45"/>
      <c r="D15" s="45"/>
      <c r="E15" s="45"/>
      <c r="F15" s="46"/>
      <c r="G15" s="32"/>
    </row>
    <row r="16" spans="1:7" ht="19.5" x14ac:dyDescent="0.55000000000000004">
      <c r="B16" s="44" t="s">
        <v>354</v>
      </c>
      <c r="C16" s="380" t="s">
        <v>355</v>
      </c>
      <c r="D16" s="380"/>
      <c r="E16" s="380" t="s">
        <v>356</v>
      </c>
      <c r="F16" s="381"/>
      <c r="G16" s="32"/>
    </row>
    <row r="17" spans="2:8" ht="14.25" x14ac:dyDescent="0.2">
      <c r="B17" s="37" t="s">
        <v>357</v>
      </c>
      <c r="C17" s="83">
        <f>IFERROR(C14*C11,"N/A")</f>
        <v>527114.52983812662</v>
      </c>
      <c r="D17" s="47">
        <f>IFERROR(C17/C14,"N/A")</f>
        <v>0.1875</v>
      </c>
      <c r="E17" s="84">
        <f>IFERROR(E14*E11,"N/A")</f>
        <v>216423.08026540288</v>
      </c>
      <c r="F17" s="49">
        <f>IFERROR(E17/E14,"N/A")</f>
        <v>0.17819905213270143</v>
      </c>
      <c r="G17" s="32"/>
    </row>
    <row r="18" spans="2:8" ht="14.25" x14ac:dyDescent="0.2">
      <c r="B18" s="37" t="s">
        <v>358</v>
      </c>
      <c r="C18" s="83">
        <f>D14</f>
        <v>282783.61</v>
      </c>
      <c r="D18" s="47">
        <f>IFERROR(C18/C17, "N/A")</f>
        <v>0.53647470140282594</v>
      </c>
      <c r="E18" s="84">
        <f>F14</f>
        <v>282782.65000000002</v>
      </c>
      <c r="F18" s="49">
        <f>IFERROR(E18/E17, "N/A")</f>
        <v>1.3066196528263962</v>
      </c>
      <c r="G18" s="32"/>
      <c r="H18" s="33"/>
    </row>
    <row r="19" spans="2:8" ht="15" thickBot="1" x14ac:dyDescent="0.25">
      <c r="B19" s="37"/>
      <c r="C19" s="25"/>
      <c r="D19" s="47"/>
      <c r="E19" s="48"/>
      <c r="F19" s="49"/>
      <c r="G19" s="32"/>
    </row>
    <row r="20" spans="2:8" ht="15.75" thickBot="1" x14ac:dyDescent="0.3">
      <c r="B20" s="50" t="s">
        <v>359</v>
      </c>
      <c r="C20" s="85">
        <f>IFERROR(C17-C18,"N/A")</f>
        <v>244330.91983812663</v>
      </c>
      <c r="D20" s="51">
        <f>IFERROR(C20/C17, "N/A")</f>
        <v>0.46352529859717401</v>
      </c>
      <c r="E20" s="85">
        <f>IFERROR(E17-E18, "N/A")</f>
        <v>-66359.569734597142</v>
      </c>
      <c r="F20" s="52">
        <f>IFERROR(E20/E17, "N/A")</f>
        <v>-0.30661965282639636</v>
      </c>
      <c r="G20" s="32"/>
    </row>
    <row r="21" spans="2:8" ht="30.75" thickBot="1" x14ac:dyDescent="0.3">
      <c r="B21" s="37"/>
      <c r="C21" s="53"/>
      <c r="D21" s="54" t="s">
        <v>360</v>
      </c>
      <c r="E21" s="39"/>
      <c r="F21" s="54" t="s">
        <v>360</v>
      </c>
    </row>
    <row r="22" spans="2:8" s="1" customFormat="1" ht="12.75" x14ac:dyDescent="0.2">
      <c r="B22" s="32"/>
      <c r="C22" s="31"/>
      <c r="D22" s="31"/>
      <c r="E22" s="31"/>
      <c r="F22" s="31"/>
      <c r="G22" s="31"/>
    </row>
  </sheetData>
  <sheetProtection algorithmName="SHA-512" hashValue="I+0627chvehKeVmYCpvFB3GFTxe4HXc1Tr2DJF8jz+bTL1BS2i9rWQehaxlLmAIMa4B8+irftjjpAjePlR8zfg==" saltValue="Gke/QxfZXRzE1rfIe2E7Lw==" spinCount="100000" sheet="1" objects="1" scenarios="1"/>
  <mergeCells count="3">
    <mergeCell ref="C16:D16"/>
    <mergeCell ref="E16:F16"/>
    <mergeCell ref="B3:F3"/>
  </mergeCells>
  <phoneticPr fontId="11" type="noConversion"/>
  <pageMargins left="1" right="1" top="0.81" bottom="0.5" header="0.5" footer="0.5"/>
  <pageSetup scale="41" orientation="portrait" horizontalDpi="4294967295" verticalDpi="4294967295"/>
  <headerFooter alignWithMargins="0">
    <oddHeader>&amp;C&amp;"Arial,Bold"&amp;12Cash Match Calculation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07AD-5CF0-4296-9A34-A54EA077DA7B}">
  <sheetPr>
    <tabColor rgb="FFBDD7EE"/>
  </sheetPr>
  <dimension ref="A1:P31"/>
  <sheetViews>
    <sheetView zoomScale="90" zoomScaleNormal="90" workbookViewId="0">
      <selection activeCell="C10" sqref="C10:C11"/>
    </sheetView>
  </sheetViews>
  <sheetFormatPr defaultRowHeight="12.75" x14ac:dyDescent="0.2"/>
  <cols>
    <col min="1" max="1" width="4.5703125" customWidth="1"/>
    <col min="2" max="2" width="20" customWidth="1"/>
    <col min="3" max="3" width="34.140625" customWidth="1"/>
    <col min="4" max="4" width="16" customWidth="1"/>
    <col min="5" max="5" width="39.28515625" customWidth="1"/>
    <col min="6" max="6" width="24.140625" customWidth="1"/>
    <col min="7" max="7" width="26.140625" customWidth="1"/>
    <col min="8" max="8" width="17.7109375" customWidth="1"/>
    <col min="9" max="9" width="34" customWidth="1"/>
    <col min="10" max="10" width="17" customWidth="1"/>
    <col min="11" max="11" width="34" customWidth="1"/>
    <col min="12" max="12" width="13.5703125" customWidth="1"/>
  </cols>
  <sheetData>
    <row r="1" spans="1:16" ht="18" x14ac:dyDescent="0.2">
      <c r="A1" s="265" t="s">
        <v>14</v>
      </c>
      <c r="B1" s="265"/>
      <c r="C1" s="268"/>
      <c r="D1" s="308"/>
      <c r="E1" s="308"/>
      <c r="F1" s="309"/>
    </row>
    <row r="2" spans="1:16" ht="18" x14ac:dyDescent="0.2">
      <c r="A2" s="265" t="s">
        <v>361</v>
      </c>
      <c r="B2" s="265"/>
      <c r="C2" s="270"/>
      <c r="D2" s="270"/>
      <c r="E2" s="271"/>
      <c r="F2" s="309"/>
    </row>
    <row r="3" spans="1:16" ht="18.75" thickBot="1" x14ac:dyDescent="0.25">
      <c r="A3" s="265"/>
    </row>
    <row r="4" spans="1:16" s="1" customFormat="1" ht="16.5" thickBot="1" x14ac:dyDescent="0.3">
      <c r="A4" s="310" t="s">
        <v>16</v>
      </c>
      <c r="B4" s="132"/>
      <c r="C4" s="132"/>
      <c r="D4" s="132"/>
      <c r="E4" s="132"/>
      <c r="F4" s="132"/>
      <c r="G4" s="132"/>
      <c r="H4" s="132"/>
      <c r="I4" s="132"/>
      <c r="J4" s="132"/>
      <c r="K4" s="132"/>
      <c r="L4" s="133"/>
      <c r="M4" s="311"/>
      <c r="N4" s="311"/>
      <c r="O4" s="311"/>
      <c r="P4" s="311"/>
    </row>
    <row r="5" spans="1:16" s="129" customFormat="1" ht="24" customHeight="1" x14ac:dyDescent="0.2">
      <c r="A5" s="312" t="s">
        <v>17</v>
      </c>
      <c r="B5" s="313"/>
      <c r="C5" s="313"/>
      <c r="D5" s="313"/>
      <c r="E5" s="313"/>
      <c r="F5" s="313"/>
      <c r="G5" s="313"/>
      <c r="H5" s="313"/>
      <c r="I5" s="313"/>
      <c r="J5" s="313"/>
      <c r="K5" s="313"/>
      <c r="L5" s="314"/>
    </row>
    <row r="6" spans="1:16" ht="72" customHeight="1" thickBot="1" x14ac:dyDescent="0.25">
      <c r="A6" s="395" t="s">
        <v>362</v>
      </c>
      <c r="B6" s="396"/>
      <c r="C6" s="396"/>
      <c r="D6" s="396"/>
      <c r="E6" s="396"/>
      <c r="F6" s="396"/>
      <c r="G6" s="396"/>
      <c r="H6" s="315"/>
      <c r="I6" s="315"/>
      <c r="J6" s="315"/>
      <c r="K6" s="315"/>
      <c r="L6" s="316"/>
    </row>
    <row r="7" spans="1:16" ht="24.95" customHeight="1" thickBot="1" x14ac:dyDescent="0.25">
      <c r="A7" s="317"/>
      <c r="B7" s="317"/>
      <c r="C7" s="317"/>
      <c r="D7" s="317"/>
      <c r="E7" s="317"/>
      <c r="F7" s="317"/>
      <c r="G7" s="317"/>
      <c r="H7" s="317"/>
      <c r="I7" s="317"/>
      <c r="J7" s="317"/>
      <c r="K7" s="317"/>
      <c r="L7" s="317"/>
    </row>
    <row r="8" spans="1:16" ht="51.6" customHeight="1" x14ac:dyDescent="0.2">
      <c r="A8" s="318"/>
      <c r="B8" s="318" t="s">
        <v>363</v>
      </c>
      <c r="C8" s="318" t="s">
        <v>364</v>
      </c>
      <c r="D8" s="318" t="s">
        <v>365</v>
      </c>
      <c r="E8" s="318" t="s">
        <v>366</v>
      </c>
      <c r="F8" s="318" t="s">
        <v>367</v>
      </c>
      <c r="G8" s="319" t="s">
        <v>368</v>
      </c>
      <c r="H8" s="320" t="s">
        <v>369</v>
      </c>
      <c r="I8" s="321" t="s">
        <v>370</v>
      </c>
      <c r="J8" s="320" t="s">
        <v>371</v>
      </c>
      <c r="K8" s="322" t="s">
        <v>372</v>
      </c>
      <c r="L8" s="321" t="s">
        <v>373</v>
      </c>
      <c r="N8" s="323"/>
    </row>
    <row r="9" spans="1:16" ht="21" customHeight="1" x14ac:dyDescent="0.2">
      <c r="A9" s="324" t="s">
        <v>374</v>
      </c>
      <c r="B9" s="324"/>
      <c r="C9" s="324"/>
      <c r="D9" s="324"/>
      <c r="E9" s="324"/>
      <c r="F9" s="324"/>
      <c r="G9" s="325"/>
      <c r="H9" s="326"/>
      <c r="I9" s="327"/>
      <c r="J9" s="326"/>
      <c r="K9" s="324"/>
      <c r="L9" s="327"/>
    </row>
    <row r="10" spans="1:16" ht="39.950000000000003" customHeight="1" x14ac:dyDescent="0.2">
      <c r="A10" s="385">
        <v>1</v>
      </c>
      <c r="B10" s="393" t="s">
        <v>375</v>
      </c>
      <c r="C10" s="393" t="s">
        <v>376</v>
      </c>
      <c r="D10" s="328" t="s">
        <v>377</v>
      </c>
      <c r="E10" s="328" t="s">
        <v>378</v>
      </c>
      <c r="F10" s="328" t="s">
        <v>379</v>
      </c>
      <c r="G10" s="328" t="s">
        <v>380</v>
      </c>
      <c r="H10" s="329">
        <v>14</v>
      </c>
      <c r="I10" s="330" t="s">
        <v>381</v>
      </c>
      <c r="J10" s="329">
        <v>14</v>
      </c>
      <c r="K10" s="331" t="s">
        <v>382</v>
      </c>
      <c r="L10" s="332">
        <f>J10/30</f>
        <v>0.46666666666666667</v>
      </c>
    </row>
    <row r="11" spans="1:16" ht="39.950000000000003" customHeight="1" x14ac:dyDescent="0.2">
      <c r="A11" s="385"/>
      <c r="B11" s="394"/>
      <c r="C11" s="394"/>
      <c r="D11" s="328" t="s">
        <v>383</v>
      </c>
      <c r="E11" s="328" t="s">
        <v>384</v>
      </c>
      <c r="F11" s="328" t="s">
        <v>385</v>
      </c>
      <c r="G11" s="328" t="s">
        <v>386</v>
      </c>
      <c r="H11" s="329">
        <v>14</v>
      </c>
      <c r="I11" s="330" t="s">
        <v>387</v>
      </c>
      <c r="J11" s="329">
        <v>14</v>
      </c>
      <c r="K11" s="331" t="s">
        <v>388</v>
      </c>
      <c r="L11" s="332">
        <f>J11/15</f>
        <v>0.93333333333333335</v>
      </c>
    </row>
    <row r="12" spans="1:16" ht="39.950000000000003" customHeight="1" x14ac:dyDescent="0.2">
      <c r="A12" s="385">
        <v>2</v>
      </c>
      <c r="B12" s="386" t="s">
        <v>375</v>
      </c>
      <c r="C12" s="386" t="s">
        <v>389</v>
      </c>
      <c r="D12" s="333" t="s">
        <v>377</v>
      </c>
      <c r="E12" s="333" t="s">
        <v>390</v>
      </c>
      <c r="F12" s="333" t="s">
        <v>391</v>
      </c>
      <c r="G12" s="333" t="s">
        <v>380</v>
      </c>
      <c r="H12" s="334">
        <v>40</v>
      </c>
      <c r="I12" s="330" t="s">
        <v>392</v>
      </c>
      <c r="J12" s="329">
        <v>82</v>
      </c>
      <c r="K12" s="331" t="s">
        <v>393</v>
      </c>
      <c r="L12" s="332">
        <f>J12/150</f>
        <v>0.54666666666666663</v>
      </c>
    </row>
    <row r="13" spans="1:16" ht="39.950000000000003" customHeight="1" x14ac:dyDescent="0.2">
      <c r="A13" s="385"/>
      <c r="B13" s="387"/>
      <c r="C13" s="387"/>
      <c r="D13" s="333" t="s">
        <v>383</v>
      </c>
      <c r="E13" s="333" t="s">
        <v>394</v>
      </c>
      <c r="F13" s="333" t="s">
        <v>395</v>
      </c>
      <c r="G13" s="333" t="s">
        <v>396</v>
      </c>
      <c r="H13" s="329">
        <v>24</v>
      </c>
      <c r="I13" s="330" t="s">
        <v>397</v>
      </c>
      <c r="J13" s="329">
        <v>42</v>
      </c>
      <c r="K13" s="330" t="s">
        <v>398</v>
      </c>
      <c r="L13" s="332">
        <f>J13/68</f>
        <v>0.61764705882352944</v>
      </c>
    </row>
    <row r="14" spans="1:16" ht="39.950000000000003" customHeight="1" x14ac:dyDescent="0.2">
      <c r="A14" s="385">
        <v>3</v>
      </c>
      <c r="B14" s="386" t="s">
        <v>375</v>
      </c>
      <c r="C14" s="386" t="s">
        <v>389</v>
      </c>
      <c r="D14" s="333" t="s">
        <v>377</v>
      </c>
      <c r="E14" s="333" t="s">
        <v>399</v>
      </c>
      <c r="F14" s="333" t="s">
        <v>395</v>
      </c>
      <c r="G14" s="333" t="s">
        <v>380</v>
      </c>
      <c r="H14" s="329">
        <v>24</v>
      </c>
      <c r="I14" s="330" t="s">
        <v>400</v>
      </c>
      <c r="J14" s="329">
        <v>42</v>
      </c>
      <c r="K14" s="331" t="s">
        <v>401</v>
      </c>
      <c r="L14" s="332">
        <f>J14/68</f>
        <v>0.61764705882352944</v>
      </c>
    </row>
    <row r="15" spans="1:16" ht="39.950000000000003" customHeight="1" x14ac:dyDescent="0.2">
      <c r="A15" s="385"/>
      <c r="B15" s="387"/>
      <c r="C15" s="387"/>
      <c r="D15" s="333" t="s">
        <v>383</v>
      </c>
      <c r="E15" s="333" t="s">
        <v>402</v>
      </c>
      <c r="F15" s="333" t="s">
        <v>403</v>
      </c>
      <c r="G15" s="333" t="s">
        <v>380</v>
      </c>
      <c r="H15" s="329">
        <v>18</v>
      </c>
      <c r="I15" s="330" t="s">
        <v>404</v>
      </c>
      <c r="J15" s="329">
        <v>26</v>
      </c>
      <c r="K15" s="331" t="s">
        <v>405</v>
      </c>
      <c r="L15" s="332">
        <f>J15/34</f>
        <v>0.76470588235294112</v>
      </c>
    </row>
    <row r="16" spans="1:16" ht="24" customHeight="1" x14ac:dyDescent="0.2">
      <c r="A16" s="324" t="s">
        <v>406</v>
      </c>
      <c r="B16" s="324"/>
      <c r="C16" s="324"/>
      <c r="D16" s="324"/>
      <c r="E16" s="324"/>
      <c r="F16" s="324"/>
      <c r="G16" s="325"/>
      <c r="H16" s="326"/>
      <c r="I16" s="327"/>
      <c r="J16" s="326"/>
      <c r="K16" s="324"/>
      <c r="L16" s="327"/>
    </row>
    <row r="17" spans="1:12" ht="39.950000000000003" customHeight="1" x14ac:dyDescent="0.2">
      <c r="A17" s="385">
        <v>1</v>
      </c>
      <c r="B17" s="390"/>
      <c r="C17" s="390"/>
      <c r="D17" s="335"/>
      <c r="E17" s="335"/>
      <c r="F17" s="335"/>
      <c r="G17" s="336"/>
      <c r="H17" s="329"/>
      <c r="I17" s="337"/>
      <c r="J17" s="329"/>
      <c r="K17" s="338"/>
      <c r="L17" s="339"/>
    </row>
    <row r="18" spans="1:12" ht="39.950000000000003" customHeight="1" x14ac:dyDescent="0.2">
      <c r="A18" s="385"/>
      <c r="B18" s="390"/>
      <c r="C18" s="390"/>
      <c r="D18" s="335"/>
      <c r="E18" s="335"/>
      <c r="F18" s="335"/>
      <c r="G18" s="336"/>
      <c r="H18" s="329"/>
      <c r="I18" s="337"/>
      <c r="J18" s="329"/>
      <c r="K18" s="338"/>
      <c r="L18" s="339"/>
    </row>
    <row r="19" spans="1:12" ht="39.950000000000003" customHeight="1" x14ac:dyDescent="0.2">
      <c r="A19" s="385">
        <v>2</v>
      </c>
      <c r="B19" s="388"/>
      <c r="C19" s="391"/>
      <c r="D19" s="335"/>
      <c r="E19" s="335"/>
      <c r="F19" s="335"/>
      <c r="G19" s="336"/>
      <c r="H19" s="329"/>
      <c r="I19" s="337"/>
      <c r="J19" s="329"/>
      <c r="K19" s="338"/>
      <c r="L19" s="339"/>
    </row>
    <row r="20" spans="1:12" ht="39.950000000000003" customHeight="1" x14ac:dyDescent="0.2">
      <c r="A20" s="385"/>
      <c r="B20" s="389"/>
      <c r="C20" s="392"/>
      <c r="D20" s="335"/>
      <c r="E20" s="335"/>
      <c r="F20" s="335"/>
      <c r="G20" s="336"/>
      <c r="H20" s="329"/>
      <c r="I20" s="337"/>
      <c r="J20" s="329"/>
      <c r="K20" s="338"/>
      <c r="L20" s="339"/>
    </row>
    <row r="21" spans="1:12" ht="39.950000000000003" customHeight="1" x14ac:dyDescent="0.2">
      <c r="A21" s="385">
        <v>3</v>
      </c>
      <c r="B21" s="388"/>
      <c r="C21" s="390"/>
      <c r="D21" s="335"/>
      <c r="E21" s="335"/>
      <c r="F21" s="335"/>
      <c r="G21" s="336"/>
      <c r="H21" s="329"/>
      <c r="I21" s="337"/>
      <c r="J21" s="329"/>
      <c r="K21" s="338"/>
      <c r="L21" s="339"/>
    </row>
    <row r="22" spans="1:12" ht="39.950000000000003" customHeight="1" thickBot="1" x14ac:dyDescent="0.25">
      <c r="A22" s="385"/>
      <c r="B22" s="389"/>
      <c r="C22" s="390"/>
      <c r="D22" s="335"/>
      <c r="E22" s="335"/>
      <c r="F22" s="335"/>
      <c r="G22" s="336"/>
      <c r="H22" s="340"/>
      <c r="I22" s="341"/>
      <c r="J22" s="340"/>
      <c r="K22" s="342"/>
      <c r="L22" s="343"/>
    </row>
    <row r="23" spans="1:12" x14ac:dyDescent="0.2">
      <c r="A23" s="309"/>
    </row>
    <row r="26" spans="1:12" x14ac:dyDescent="0.2">
      <c r="C26" s="344"/>
      <c r="D26" s="344"/>
      <c r="E26" s="344"/>
    </row>
    <row r="27" spans="1:12" x14ac:dyDescent="0.2">
      <c r="D27" s="345"/>
      <c r="E27" s="309"/>
    </row>
    <row r="28" spans="1:12" x14ac:dyDescent="0.2">
      <c r="C28" s="309"/>
      <c r="D28" s="345"/>
      <c r="E28" s="309"/>
    </row>
    <row r="29" spans="1:12" x14ac:dyDescent="0.2">
      <c r="C29" s="345"/>
      <c r="D29" s="345"/>
      <c r="E29" s="309"/>
    </row>
    <row r="30" spans="1:12" x14ac:dyDescent="0.2">
      <c r="C30" s="345"/>
      <c r="D30" s="345"/>
      <c r="E30" s="345"/>
    </row>
    <row r="31" spans="1:12" x14ac:dyDescent="0.2">
      <c r="D31" s="345"/>
    </row>
  </sheetData>
  <sheetProtection algorithmName="SHA-512" hashValue="BJqcr3/nkMj6LbJopsfTaoktIDZ8KnAQQTto1UMHXJtVPc/4LJm07KYoS5pX3ZBkBuw5kf1wzI1XwTvj6vA5hQ==" saltValue="gWKDCx9oBXw0HBWMAtY5fA==" spinCount="100000" sheet="1" objects="1" scenarios="1"/>
  <dataConsolidate/>
  <mergeCells count="19">
    <mergeCell ref="A10:A11"/>
    <mergeCell ref="B10:B11"/>
    <mergeCell ref="C10:C11"/>
    <mergeCell ref="A6:G6"/>
    <mergeCell ref="A12:A13"/>
    <mergeCell ref="B12:B13"/>
    <mergeCell ref="C12:C13"/>
    <mergeCell ref="A14:A15"/>
    <mergeCell ref="B14:B15"/>
    <mergeCell ref="C14:C15"/>
    <mergeCell ref="A21:A22"/>
    <mergeCell ref="B21:B22"/>
    <mergeCell ref="C21:C22"/>
    <mergeCell ref="A17:A18"/>
    <mergeCell ref="B17:B18"/>
    <mergeCell ref="C17:C18"/>
    <mergeCell ref="A19:A20"/>
    <mergeCell ref="B19:B20"/>
    <mergeCell ref="C19:C20"/>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80E-DB12-4849-8E84-385549CA4A93}">
  <dimension ref="A1"/>
  <sheetViews>
    <sheetView workbookViewId="0"/>
  </sheetViews>
  <sheetFormatPr defaultRowHeight="12.75"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SharedWithUsers xmlns="bdb8ef80-3d76-4f2b-ba95-731db74cbb70">
      <UserInfo>
        <DisplayName>SharingLinks.9d2aab56-9f21-41af-aaec-668d6c564afd.Flexible.0368a3ac-35b1-411d-bebf-69b478ce4536</DisplayName>
        <AccountId>15</AccountId>
        <AccountType/>
      </UserInfo>
      <UserInfo>
        <DisplayName>SharingLinks.8c65eb13-7676-43a6-be84-0afa286af387.Flexible.9beb561e-8cbb-483e-8cf8-1ec59069809a</DisplayName>
        <AccountId>24</AccountId>
        <AccountType/>
      </UserInfo>
      <UserInfo>
        <DisplayName>Nicole Liner-Jigamian</DisplayName>
        <AccountId>372</AccountId>
        <AccountType/>
      </UserInfo>
    </SharedWithUsers>
    <lcf76f155ced4ddcb4097134ff3c332f xmlns="c503424b-3e12-4ddd-ab41-5c8973ad5bb3">
      <Terms xmlns="http://schemas.microsoft.com/office/infopath/2007/PartnerControls"/>
    </lcf76f155ced4ddcb4097134ff3c332f>
    <TaxCatchAll xmlns="bdb8ef80-3d76-4f2b-ba95-731db74cbb7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D4F2C6775654B907F0C20622A74BD" ma:contentTypeVersion="16" ma:contentTypeDescription="Create a new document." ma:contentTypeScope="" ma:versionID="5945962235e5d2d84b446019740e146a">
  <xsd:schema xmlns:xsd="http://www.w3.org/2001/XMLSchema" xmlns:xs="http://www.w3.org/2001/XMLSchema" xmlns:p="http://schemas.microsoft.com/office/2006/metadata/properties" xmlns:ns2="c503424b-3e12-4ddd-ab41-5c8973ad5bb3" xmlns:ns3="bdb8ef80-3d76-4f2b-ba95-731db74cbb70" targetNamespace="http://schemas.microsoft.com/office/2006/metadata/properties" ma:root="true" ma:fieldsID="d87176ffe5f2d429e0ff7838ab60b87d" ns2:_="" ns3:_="">
    <xsd:import namespace="c503424b-3e12-4ddd-ab41-5c8973ad5bb3"/>
    <xsd:import namespace="bdb8ef80-3d76-4f2b-ba95-731db74cbb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3424b-3e12-4ddd-ab41-5c8973ad5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5046b6-664e-4cc6-916e-c72f0da64b4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ef80-3d76-4f2b-ba95-731db74cbb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28dd133-b60f-41e9-bfab-2cbf275fe1d6}" ma:internalName="TaxCatchAll" ma:showField="CatchAllData" ma:web="bdb8ef80-3d76-4f2b-ba95-731db74cb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48728A-3ABE-4BE2-8186-96DCFA2F47D3}">
  <ds:schemaRefs>
    <ds:schemaRef ds:uri="http://schemas.microsoft.com/sharepoint/v3/contenttype/forms"/>
  </ds:schemaRefs>
</ds:datastoreItem>
</file>

<file path=customXml/itemProps2.xml><?xml version="1.0" encoding="utf-8"?>
<ds:datastoreItem xmlns:ds="http://schemas.openxmlformats.org/officeDocument/2006/customXml" ds:itemID="{6DCC06EF-B43B-4BD3-92E2-8FC8B0FB07EF}">
  <ds:schemaRefs>
    <ds:schemaRef ds:uri="http://schemas.microsoft.com/office/2006/metadata/longProperties"/>
  </ds:schemaRefs>
</ds:datastoreItem>
</file>

<file path=customXml/itemProps3.xml><?xml version="1.0" encoding="utf-8"?>
<ds:datastoreItem xmlns:ds="http://schemas.openxmlformats.org/officeDocument/2006/customXml" ds:itemID="{97D4D97A-7F06-4E8D-98A9-7DE62E8788CF}">
  <ds:schemaRef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bdb8ef80-3d76-4f2b-ba95-731db74cbb70"/>
    <ds:schemaRef ds:uri="c503424b-3e12-4ddd-ab41-5c8973ad5bb3"/>
    <ds:schemaRef ds:uri="http://schemas.microsoft.com/office/2006/metadata/properties"/>
  </ds:schemaRefs>
</ds:datastoreItem>
</file>

<file path=customXml/itemProps4.xml><?xml version="1.0" encoding="utf-8"?>
<ds:datastoreItem xmlns:ds="http://schemas.openxmlformats.org/officeDocument/2006/customXml" ds:itemID="{8D18A2EB-BA70-49C0-8A30-8DAD67D20E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3424b-3e12-4ddd-ab41-5c8973ad5bb3"/>
    <ds:schemaRef ds:uri="bdb8ef80-3d76-4f2b-ba95-731db74cb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FISCAL REPORT</vt:lpstr>
      <vt:lpstr>PARTICIPANT DEMOGRAPHICS</vt:lpstr>
      <vt:lpstr>CASH MATCH</vt:lpstr>
      <vt:lpstr>PROGRAM EVALUATION</vt:lpstr>
      <vt:lpstr>'PROGRAM EVALUATION'!Health_and_Wellness</vt:lpstr>
      <vt:lpstr>'PROGRAM EVALUATION'!Lifelong_Learning</vt:lpstr>
      <vt:lpstr>'PROGRAM EVALUATION'!Stability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DEPT</dc:creator>
  <cp:keywords/>
  <dc:description/>
  <cp:lastModifiedBy>Nicole Liner-Jigamian</cp:lastModifiedBy>
  <cp:revision/>
  <dcterms:created xsi:type="dcterms:W3CDTF">1999-10-15T17:33:56Z</dcterms:created>
  <dcterms:modified xsi:type="dcterms:W3CDTF">2025-01-28T23:42:37Z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Claire Hester;Marc Amaral</vt:lpwstr>
  </property>
  <property fmtid="{D5CDD505-2E9C-101B-9397-08002B2CF9AE}" pid="3" name="SharedWithUsers">
    <vt:lpwstr>15;#Claire Hester;#24;#Marc Amaral</vt:lpwstr>
  </property>
  <property fmtid="{D5CDD505-2E9C-101B-9397-08002B2CF9AE}" pid="4" name="ContentTypeId">
    <vt:lpwstr>0x010100224D4F2C6775654B907F0C20622A74BD</vt:lpwstr>
  </property>
  <property fmtid="{D5CDD505-2E9C-101B-9397-08002B2CF9AE}" pid="5" name="Order">
    <vt:r8>1456600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ESRI_WORKBOOK_ID">
    <vt:lpwstr>d4cf3feb028a4a33a3f0d0fd33a264b5</vt:lpwstr>
  </property>
  <property fmtid="{D5CDD505-2E9C-101B-9397-08002B2CF9AE}" pid="11" name="MediaServiceImageTags">
    <vt:lpwstr/>
  </property>
  <property fmtid="{D5CDD505-2E9C-101B-9397-08002B2CF9AE}" pid="12" name="_ExtendedDescription">
    <vt:lpwstr/>
  </property>
  <property fmtid="{D5CDD505-2E9C-101B-9397-08002B2CF9AE}" pid="13" name="TriggerFlowInfo">
    <vt:lpwstr/>
  </property>
</Properties>
</file>