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1465" documentId="8_{60868163-AB00-4719-8B15-9FED08719B30}" xr6:coauthVersionLast="47" xr6:coauthVersionMax="47" xr10:uidLastSave="{AE4E144A-AB72-46ED-8755-D191DD95516F}"/>
  <workbookProtection workbookAlgorithmName="SHA-512" workbookHashValue="qdGkWPpLOyGrzQ15T4mW/J0NvjTsKz9cRdnSQB004joR86jpG3UFGc6ronKLfFl7ye07EDBwBGhI/UpXymhosA==" workbookSaltValue="Rw0oLtVdda1RV5dHUWiJHg==" workbookSpinCount="100000" lockStructure="1"/>
  <bookViews>
    <workbookView xWindow="-120" yWindow="-120" windowWidth="29040" windowHeight="15720" tabRatio="605" activeTab="5" xr2:uid="{00000000-000D-0000-FFFF-FFFF00000000}"/>
  </bookViews>
  <sheets>
    <sheet name="INSTRUCTIONS" sheetId="29" r:id="rId1"/>
    <sheet name="FISCAL REPORT" sheetId="36" r:id="rId2"/>
    <sheet name="PARTICIPANT DEMOGRAPHICS" sheetId="35" r:id="rId3"/>
    <sheet name="CASH MATCH" sheetId="14" r:id="rId4"/>
    <sheet name="ESRI_MAPINFO_SHEET" sheetId="31" state="veryHidden" r:id="rId5"/>
    <sheet name="PROGRAM EVALUATION" sheetId="37" r:id="rId6"/>
  </sheets>
  <definedNames>
    <definedName name="Health_and_Wellness" localSheetId="5">'PROGRAM EVALUATION'!$E$27:$E$31</definedName>
    <definedName name="Health_and_Wellness">#REF!</definedName>
    <definedName name="Lifelong_Learning" localSheetId="5">'PROGRAM EVALUATION'!$C$27:$C$31</definedName>
    <definedName name="Lifelong_Learning">#REF!</definedName>
    <definedName name="Stability" localSheetId="5">'PROGRAM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6" i="36" l="1"/>
  <c r="L77" i="36"/>
  <c r="M77" i="36" s="1"/>
  <c r="L70" i="36"/>
  <c r="M70" i="36" s="1"/>
  <c r="L76" i="36"/>
  <c r="M76" i="36" s="1"/>
  <c r="J106" i="36"/>
  <c r="H106" i="36"/>
  <c r="G106" i="36"/>
  <c r="I106" i="36" s="1"/>
  <c r="D106" i="36"/>
  <c r="K69" i="36"/>
  <c r="J69" i="36"/>
  <c r="J108" i="36" s="1"/>
  <c r="D69" i="36"/>
  <c r="G69" i="36"/>
  <c r="H69" i="36"/>
  <c r="H55" i="36"/>
  <c r="J55" i="36"/>
  <c r="K55" i="36"/>
  <c r="G55" i="36"/>
  <c r="D55" i="36"/>
  <c r="B26" i="36"/>
  <c r="L15" i="37"/>
  <c r="L14" i="37"/>
  <c r="L13" i="37"/>
  <c r="L12" i="37"/>
  <c r="L11" i="37"/>
  <c r="L10" i="37"/>
  <c r="L174" i="36"/>
  <c r="M174" i="36" s="1"/>
  <c r="I174" i="36"/>
  <c r="L173" i="36"/>
  <c r="M173" i="36" s="1"/>
  <c r="I173" i="36"/>
  <c r="L176" i="36"/>
  <c r="M176" i="36" s="1"/>
  <c r="I176" i="36"/>
  <c r="L175" i="36"/>
  <c r="M175" i="36" s="1"/>
  <c r="I175" i="36"/>
  <c r="L177" i="36"/>
  <c r="M177" i="36" s="1"/>
  <c r="I177" i="36"/>
  <c r="L150" i="36"/>
  <c r="M150" i="36" s="1"/>
  <c r="I150" i="36"/>
  <c r="L149" i="36"/>
  <c r="M149" i="36" s="1"/>
  <c r="I149" i="36"/>
  <c r="L148" i="36"/>
  <c r="M148" i="36" s="1"/>
  <c r="I148" i="36"/>
  <c r="L147" i="36"/>
  <c r="M147" i="36" s="1"/>
  <c r="I147" i="36"/>
  <c r="L146" i="36"/>
  <c r="M146" i="36" s="1"/>
  <c r="I146" i="36"/>
  <c r="L145" i="36"/>
  <c r="M145" i="36" s="1"/>
  <c r="I145" i="36"/>
  <c r="L144" i="36"/>
  <c r="M144" i="36" s="1"/>
  <c r="I144" i="36"/>
  <c r="L143" i="36"/>
  <c r="M143" i="36" s="1"/>
  <c r="I143" i="36"/>
  <c r="L129" i="36"/>
  <c r="M129" i="36" s="1"/>
  <c r="I129" i="36"/>
  <c r="L131" i="36"/>
  <c r="M131" i="36" s="1"/>
  <c r="I131" i="36"/>
  <c r="L130" i="36"/>
  <c r="M130" i="36" s="1"/>
  <c r="I130" i="36"/>
  <c r="L132" i="36"/>
  <c r="M132" i="36" s="1"/>
  <c r="I132" i="36"/>
  <c r="L116" i="36"/>
  <c r="M116" i="36" s="1"/>
  <c r="I116" i="36"/>
  <c r="L117" i="36"/>
  <c r="M117" i="36" s="1"/>
  <c r="I117" i="36"/>
  <c r="L115" i="36"/>
  <c r="M115" i="36" s="1"/>
  <c r="I115" i="36"/>
  <c r="L114" i="36"/>
  <c r="M114" i="36" s="1"/>
  <c r="I114" i="36"/>
  <c r="L58" i="36"/>
  <c r="M58" i="36" s="1"/>
  <c r="I58" i="36"/>
  <c r="L51" i="36"/>
  <c r="M51" i="36" s="1"/>
  <c r="I51" i="36"/>
  <c r="L50" i="36"/>
  <c r="M50" i="36" s="1"/>
  <c r="I50" i="36"/>
  <c r="I77" i="36"/>
  <c r="L67" i="36"/>
  <c r="M67" i="36" s="1"/>
  <c r="I67" i="36"/>
  <c r="I76" i="36"/>
  <c r="L65" i="36"/>
  <c r="M65" i="36" s="1"/>
  <c r="I65" i="36"/>
  <c r="L64" i="36"/>
  <c r="M64" i="36" s="1"/>
  <c r="I64" i="36"/>
  <c r="L63" i="36"/>
  <c r="M63" i="36" s="1"/>
  <c r="I63" i="36"/>
  <c r="L75" i="36"/>
  <c r="M75" i="36" s="1"/>
  <c r="I75" i="36"/>
  <c r="L62" i="36"/>
  <c r="M62" i="36" s="1"/>
  <c r="I62" i="36"/>
  <c r="L74" i="36"/>
  <c r="M74" i="36" s="1"/>
  <c r="I74" i="36"/>
  <c r="L73" i="36"/>
  <c r="M73" i="36" s="1"/>
  <c r="I73" i="36"/>
  <c r="L72" i="36"/>
  <c r="M72" i="36" s="1"/>
  <c r="I72" i="36"/>
  <c r="L71" i="36"/>
  <c r="M71" i="36" s="1"/>
  <c r="I71" i="36"/>
  <c r="L60" i="36"/>
  <c r="M60" i="36" s="1"/>
  <c r="I60" i="36"/>
  <c r="L59" i="36"/>
  <c r="M59" i="36" s="1"/>
  <c r="I59" i="36"/>
  <c r="I70" i="36"/>
  <c r="L49" i="36"/>
  <c r="M49" i="36" s="1"/>
  <c r="I49" i="36"/>
  <c r="L48" i="36"/>
  <c r="M48" i="36" s="1"/>
  <c r="I48" i="36"/>
  <c r="L91" i="36"/>
  <c r="M91" i="36" s="1"/>
  <c r="I91" i="36"/>
  <c r="L54" i="36"/>
  <c r="M54" i="36" s="1"/>
  <c r="I54" i="36"/>
  <c r="L90" i="36"/>
  <c r="M90" i="36" s="1"/>
  <c r="I90" i="36"/>
  <c r="L89" i="36"/>
  <c r="M89" i="36" s="1"/>
  <c r="I89" i="36"/>
  <c r="L53" i="36"/>
  <c r="M53" i="36" s="1"/>
  <c r="I53" i="36"/>
  <c r="L56" i="36"/>
  <c r="M56" i="36" s="1"/>
  <c r="I56" i="36"/>
  <c r="L88" i="36"/>
  <c r="M88" i="36" s="1"/>
  <c r="I88" i="36"/>
  <c r="L66" i="36"/>
  <c r="M66" i="36" s="1"/>
  <c r="I66" i="36"/>
  <c r="L87" i="36"/>
  <c r="M87" i="36" s="1"/>
  <c r="I87" i="36"/>
  <c r="L86" i="36"/>
  <c r="M86" i="36" s="1"/>
  <c r="I86" i="36"/>
  <c r="L85" i="36"/>
  <c r="M85" i="36" s="1"/>
  <c r="I85" i="36"/>
  <c r="L84" i="36"/>
  <c r="M84" i="36" s="1"/>
  <c r="I84" i="36"/>
  <c r="L83" i="36"/>
  <c r="M83" i="36" s="1"/>
  <c r="I83" i="36"/>
  <c r="L82" i="36"/>
  <c r="M82" i="36" s="1"/>
  <c r="I82" i="36"/>
  <c r="L81" i="36"/>
  <c r="M81" i="36" s="1"/>
  <c r="I81" i="36"/>
  <c r="L52" i="36"/>
  <c r="M52" i="36" s="1"/>
  <c r="I52" i="36"/>
  <c r="L57" i="36"/>
  <c r="M57" i="36" s="1"/>
  <c r="I57" i="36"/>
  <c r="L80" i="36"/>
  <c r="M80" i="36" s="1"/>
  <c r="I80" i="36"/>
  <c r="L79" i="36"/>
  <c r="M79" i="36" s="1"/>
  <c r="I79" i="36"/>
  <c r="L78" i="36"/>
  <c r="M78" i="36" s="1"/>
  <c r="I78" i="36"/>
  <c r="L101" i="36"/>
  <c r="M101" i="36" s="1"/>
  <c r="I101" i="36"/>
  <c r="L100" i="36"/>
  <c r="M100" i="36" s="1"/>
  <c r="I100" i="36"/>
  <c r="L99" i="36"/>
  <c r="M99" i="36" s="1"/>
  <c r="I99" i="36"/>
  <c r="N99" i="36" s="1"/>
  <c r="L98" i="36"/>
  <c r="M98" i="36" s="1"/>
  <c r="I98" i="36"/>
  <c r="L97" i="36"/>
  <c r="M97" i="36" s="1"/>
  <c r="I97" i="36"/>
  <c r="L96" i="36"/>
  <c r="M96" i="36" s="1"/>
  <c r="I96" i="36"/>
  <c r="L95" i="36"/>
  <c r="M95" i="36" s="1"/>
  <c r="I95" i="36"/>
  <c r="L94" i="36"/>
  <c r="M94" i="36" s="1"/>
  <c r="I94" i="36"/>
  <c r="L93" i="36"/>
  <c r="M93" i="36" s="1"/>
  <c r="I93" i="36"/>
  <c r="L92" i="36"/>
  <c r="M92" i="36" s="1"/>
  <c r="I92" i="36"/>
  <c r="I55" i="36" l="1"/>
  <c r="L55" i="36"/>
  <c r="M55" i="36" s="1"/>
  <c r="K108" i="36"/>
  <c r="N96" i="36"/>
  <c r="H108" i="36"/>
  <c r="G108" i="36"/>
  <c r="L106" i="36"/>
  <c r="N106" i="36"/>
  <c r="M106" i="36"/>
  <c r="I69" i="36"/>
  <c r="L69" i="36"/>
  <c r="N174" i="36"/>
  <c r="N129" i="36"/>
  <c r="N94" i="36"/>
  <c r="N100" i="36"/>
  <c r="N52" i="36"/>
  <c r="N86" i="36"/>
  <c r="N89" i="36"/>
  <c r="N70" i="36"/>
  <c r="N74" i="36"/>
  <c r="N76" i="36"/>
  <c r="N114" i="36"/>
  <c r="N131" i="36"/>
  <c r="N176" i="36"/>
  <c r="N92" i="36"/>
  <c r="N84" i="36"/>
  <c r="N177" i="36"/>
  <c r="N93" i="36"/>
  <c r="N57" i="36"/>
  <c r="N85" i="36"/>
  <c r="N53" i="36"/>
  <c r="N49" i="36"/>
  <c r="N73" i="36"/>
  <c r="N65" i="36"/>
  <c r="N58" i="36"/>
  <c r="N130" i="36"/>
  <c r="N146" i="36"/>
  <c r="N175" i="36"/>
  <c r="N147" i="36"/>
  <c r="N91" i="36"/>
  <c r="N95" i="36"/>
  <c r="N101" i="36"/>
  <c r="N81" i="36"/>
  <c r="N87" i="36"/>
  <c r="N90" i="36"/>
  <c r="N59" i="36"/>
  <c r="N62" i="36"/>
  <c r="N67" i="36"/>
  <c r="N115" i="36"/>
  <c r="N148" i="36"/>
  <c r="N173" i="36"/>
  <c r="N144" i="36"/>
  <c r="N78" i="36"/>
  <c r="N82" i="36"/>
  <c r="N66" i="36"/>
  <c r="N54" i="36"/>
  <c r="N60" i="36"/>
  <c r="N75" i="36"/>
  <c r="N77" i="36"/>
  <c r="N117" i="36"/>
  <c r="N143" i="36"/>
  <c r="N149" i="36"/>
  <c r="N83" i="36"/>
  <c r="N97" i="36"/>
  <c r="N79" i="36"/>
  <c r="N88" i="36"/>
  <c r="N71" i="36"/>
  <c r="N63" i="36"/>
  <c r="N50" i="36"/>
  <c r="N116" i="36"/>
  <c r="N150" i="36"/>
  <c r="N80" i="36"/>
  <c r="N145" i="36"/>
  <c r="N48" i="36"/>
  <c r="N56" i="36"/>
  <c r="N98" i="36"/>
  <c r="N64" i="36"/>
  <c r="N132" i="36"/>
  <c r="N51" i="36"/>
  <c r="N72" i="36"/>
  <c r="L156" i="36"/>
  <c r="M156" i="36" s="1"/>
  <c r="I156" i="36"/>
  <c r="L155" i="36"/>
  <c r="M155" i="36" s="1"/>
  <c r="I155" i="36"/>
  <c r="L154" i="36"/>
  <c r="M154" i="36" s="1"/>
  <c r="I154" i="36"/>
  <c r="L153" i="36"/>
  <c r="M153" i="36" s="1"/>
  <c r="I153" i="36"/>
  <c r="L152" i="36"/>
  <c r="M152" i="36" s="1"/>
  <c r="I152" i="36"/>
  <c r="L151" i="36"/>
  <c r="M151" i="36" s="1"/>
  <c r="I151" i="36"/>
  <c r="N151" i="36" s="1"/>
  <c r="L142" i="36"/>
  <c r="M142" i="36" s="1"/>
  <c r="I142" i="36"/>
  <c r="L133" i="36"/>
  <c r="M133" i="36" s="1"/>
  <c r="I133" i="36"/>
  <c r="L104" i="36"/>
  <c r="M104" i="36" s="1"/>
  <c r="I104" i="36"/>
  <c r="L103" i="36"/>
  <c r="M103" i="36" s="1"/>
  <c r="I103" i="36"/>
  <c r="L102" i="36"/>
  <c r="M102" i="36" s="1"/>
  <c r="I102" i="36"/>
  <c r="L105" i="36"/>
  <c r="M105" i="36" s="1"/>
  <c r="I105" i="36"/>
  <c r="N105" i="36" s="1"/>
  <c r="L68" i="36"/>
  <c r="M68" i="36" s="1"/>
  <c r="I68" i="36"/>
  <c r="I108" i="36" l="1"/>
  <c r="N55" i="36"/>
  <c r="L108" i="36"/>
  <c r="M108" i="36" s="1"/>
  <c r="N69" i="36"/>
  <c r="N102" i="36"/>
  <c r="N152" i="36"/>
  <c r="N142" i="36"/>
  <c r="N156" i="36"/>
  <c r="N133" i="36"/>
  <c r="N155" i="36"/>
  <c r="N104" i="36"/>
  <c r="N154" i="36"/>
  <c r="N68" i="36"/>
  <c r="N103" i="36"/>
  <c r="N153" i="36"/>
  <c r="L119" i="36"/>
  <c r="M119" i="36" s="1"/>
  <c r="I119" i="36"/>
  <c r="L120" i="36"/>
  <c r="M120" i="36" s="1"/>
  <c r="I120" i="36"/>
  <c r="L164" i="36"/>
  <c r="M164" i="36" s="1"/>
  <c r="I164" i="36"/>
  <c r="L165" i="36"/>
  <c r="M165" i="36" s="1"/>
  <c r="I165" i="36"/>
  <c r="N108" i="36" l="1"/>
  <c r="N119" i="36"/>
  <c r="N164" i="36"/>
  <c r="N165" i="36"/>
  <c r="N120" i="36"/>
  <c r="L107" i="36"/>
  <c r="M107" i="36" s="1"/>
  <c r="I107" i="36"/>
  <c r="N107" i="36" l="1"/>
  <c r="B6" i="14"/>
  <c r="B5" i="14"/>
  <c r="H44" i="35" l="1"/>
  <c r="G44" i="35"/>
  <c r="C38" i="35"/>
  <c r="B38" i="35"/>
  <c r="H55" i="35"/>
  <c r="G55" i="35"/>
  <c r="C57" i="35"/>
  <c r="B57" i="35"/>
  <c r="E10" i="14" l="1"/>
  <c r="E9" i="14"/>
  <c r="C10" i="14"/>
  <c r="C9" i="14"/>
  <c r="G28" i="35"/>
  <c r="F28" i="35"/>
  <c r="E28" i="35"/>
  <c r="K189" i="36"/>
  <c r="K25" i="36" s="1"/>
  <c r="J189" i="36"/>
  <c r="J25" i="36" s="1"/>
  <c r="H189" i="36"/>
  <c r="H25" i="36" s="1"/>
  <c r="G189" i="36"/>
  <c r="G25" i="36" s="1"/>
  <c r="L188" i="36"/>
  <c r="M188" i="36" s="1"/>
  <c r="I188" i="36"/>
  <c r="L187" i="36"/>
  <c r="I187" i="36"/>
  <c r="N186" i="36"/>
  <c r="M186" i="36"/>
  <c r="L186" i="36"/>
  <c r="K186" i="36"/>
  <c r="J186" i="36"/>
  <c r="I186" i="36"/>
  <c r="H186" i="36"/>
  <c r="G186" i="36"/>
  <c r="K180" i="36"/>
  <c r="K24" i="36" s="1"/>
  <c r="J180" i="36"/>
  <c r="J24" i="36" s="1"/>
  <c r="H180" i="36"/>
  <c r="H24" i="36" s="1"/>
  <c r="G180" i="36"/>
  <c r="G24" i="36" s="1"/>
  <c r="L179" i="36"/>
  <c r="M179" i="36" s="1"/>
  <c r="I179" i="36"/>
  <c r="L178" i="36"/>
  <c r="M178" i="36" s="1"/>
  <c r="I178" i="36"/>
  <c r="L172" i="36"/>
  <c r="M172" i="36" s="1"/>
  <c r="I172" i="36"/>
  <c r="N172" i="36" s="1"/>
  <c r="N171" i="36"/>
  <c r="M171" i="36"/>
  <c r="L171" i="36"/>
  <c r="K171" i="36"/>
  <c r="J171" i="36"/>
  <c r="I171" i="36"/>
  <c r="H171" i="36"/>
  <c r="G171" i="36"/>
  <c r="K167" i="36"/>
  <c r="K23" i="36" s="1"/>
  <c r="J167" i="36"/>
  <c r="J23" i="36" s="1"/>
  <c r="H167" i="36"/>
  <c r="H23" i="36" s="1"/>
  <c r="G167" i="36"/>
  <c r="G23" i="36" s="1"/>
  <c r="L166" i="36"/>
  <c r="M166" i="36" s="1"/>
  <c r="I166" i="36"/>
  <c r="N163" i="36"/>
  <c r="M163" i="36"/>
  <c r="L163" i="36"/>
  <c r="K163" i="36"/>
  <c r="J163" i="36"/>
  <c r="I163" i="36"/>
  <c r="H163" i="36"/>
  <c r="G163" i="36"/>
  <c r="K159" i="36"/>
  <c r="K22" i="36" s="1"/>
  <c r="J159" i="36"/>
  <c r="J22" i="36" s="1"/>
  <c r="H159" i="36"/>
  <c r="H22" i="36" s="1"/>
  <c r="G159" i="36"/>
  <c r="G22" i="36" s="1"/>
  <c r="L158" i="36"/>
  <c r="M158" i="36" s="1"/>
  <c r="I158" i="36"/>
  <c r="L157" i="36"/>
  <c r="M157" i="36" s="1"/>
  <c r="I157" i="36"/>
  <c r="L141" i="36"/>
  <c r="I141" i="36"/>
  <c r="N140" i="36"/>
  <c r="M140" i="36"/>
  <c r="L140" i="36"/>
  <c r="K140" i="36"/>
  <c r="J140" i="36"/>
  <c r="I140" i="36"/>
  <c r="H140" i="36"/>
  <c r="G140" i="36"/>
  <c r="K136" i="36"/>
  <c r="K21" i="36" s="1"/>
  <c r="J136" i="36"/>
  <c r="J21" i="36" s="1"/>
  <c r="H136" i="36"/>
  <c r="H21" i="36" s="1"/>
  <c r="G136" i="36"/>
  <c r="G21" i="36" s="1"/>
  <c r="L135" i="36"/>
  <c r="M135" i="36" s="1"/>
  <c r="I135" i="36"/>
  <c r="L134" i="36"/>
  <c r="M134" i="36" s="1"/>
  <c r="I134" i="36"/>
  <c r="N134" i="36" s="1"/>
  <c r="L128" i="36"/>
  <c r="M128" i="36" s="1"/>
  <c r="I128" i="36"/>
  <c r="N127" i="36"/>
  <c r="M127" i="36"/>
  <c r="L127" i="36"/>
  <c r="K127" i="36"/>
  <c r="J127" i="36"/>
  <c r="I127" i="36"/>
  <c r="H127" i="36"/>
  <c r="G127" i="36"/>
  <c r="K123" i="36"/>
  <c r="K20" i="36" s="1"/>
  <c r="J123" i="36"/>
  <c r="J20" i="36" s="1"/>
  <c r="H123" i="36"/>
  <c r="H20" i="36" s="1"/>
  <c r="G123" i="36"/>
  <c r="G20" i="36" s="1"/>
  <c r="L122" i="36"/>
  <c r="M122" i="36" s="1"/>
  <c r="I122" i="36"/>
  <c r="L121" i="36"/>
  <c r="M121" i="36" s="1"/>
  <c r="I121" i="36"/>
  <c r="L118" i="36"/>
  <c r="M118" i="36" s="1"/>
  <c r="I118" i="36"/>
  <c r="L113" i="36"/>
  <c r="I113" i="36"/>
  <c r="N112" i="36"/>
  <c r="M112" i="36"/>
  <c r="L112" i="36"/>
  <c r="K112" i="36"/>
  <c r="J112" i="36"/>
  <c r="I112" i="36"/>
  <c r="H112" i="36"/>
  <c r="G112" i="36"/>
  <c r="K19" i="36"/>
  <c r="J19" i="36"/>
  <c r="H19" i="36"/>
  <c r="G19" i="36"/>
  <c r="L61" i="36"/>
  <c r="I61" i="36"/>
  <c r="N47" i="36"/>
  <c r="M47" i="36"/>
  <c r="L47" i="36"/>
  <c r="K47" i="36"/>
  <c r="J47" i="36"/>
  <c r="I47" i="36"/>
  <c r="H47" i="36"/>
  <c r="G47" i="36"/>
  <c r="D26" i="36"/>
  <c r="D25" i="36"/>
  <c r="D24" i="36"/>
  <c r="D23" i="36"/>
  <c r="D22" i="36"/>
  <c r="D21" i="36"/>
  <c r="D20" i="36"/>
  <c r="D19" i="36"/>
  <c r="N61" i="36" l="1"/>
  <c r="M61" i="36"/>
  <c r="M69" i="36"/>
  <c r="N135" i="36"/>
  <c r="N178" i="36"/>
  <c r="N128" i="36"/>
  <c r="N166" i="36"/>
  <c r="N167" i="36" s="1"/>
  <c r="N23" i="36" s="1"/>
  <c r="N118" i="36"/>
  <c r="N141" i="36"/>
  <c r="N187" i="36"/>
  <c r="N179" i="36"/>
  <c r="N121" i="36"/>
  <c r="N157" i="36"/>
  <c r="N122" i="36"/>
  <c r="N188" i="36"/>
  <c r="N158" i="36"/>
  <c r="N113" i="36"/>
  <c r="I167" i="36"/>
  <c r="I23" i="36" s="1"/>
  <c r="I189" i="36"/>
  <c r="I25" i="36" s="1"/>
  <c r="I123" i="36"/>
  <c r="I20" i="36" s="1"/>
  <c r="K191" i="36"/>
  <c r="K26" i="36" s="1"/>
  <c r="L123" i="36"/>
  <c r="L20" i="36" s="1"/>
  <c r="M20" i="36" s="1"/>
  <c r="G191" i="36"/>
  <c r="G26" i="36" s="1"/>
  <c r="C14" i="14" s="1"/>
  <c r="I136" i="36"/>
  <c r="I21" i="36" s="1"/>
  <c r="L189" i="36"/>
  <c r="M189" i="36" s="1"/>
  <c r="H191" i="36"/>
  <c r="F187" i="36" s="1"/>
  <c r="I19" i="36"/>
  <c r="L159" i="36"/>
  <c r="M159" i="36" s="1"/>
  <c r="I159" i="36"/>
  <c r="I22" i="36" s="1"/>
  <c r="I180" i="36"/>
  <c r="I24" i="36" s="1"/>
  <c r="J191" i="36"/>
  <c r="J26" i="36" s="1"/>
  <c r="L136" i="36"/>
  <c r="M113" i="36"/>
  <c r="L167" i="36"/>
  <c r="L180" i="36"/>
  <c r="M141" i="36"/>
  <c r="M187" i="36"/>
  <c r="N180" i="36" l="1"/>
  <c r="N24" i="36" s="1"/>
  <c r="N189" i="36"/>
  <c r="N25" i="36" s="1"/>
  <c r="N19" i="36"/>
  <c r="N136" i="36"/>
  <c r="N21" i="36" s="1"/>
  <c r="N123" i="36"/>
  <c r="N20" i="36" s="1"/>
  <c r="N159" i="36"/>
  <c r="N22" i="36" s="1"/>
  <c r="L25" i="36"/>
  <c r="M25" i="36" s="1"/>
  <c r="M123" i="36"/>
  <c r="L22" i="36"/>
  <c r="M22" i="36" s="1"/>
  <c r="H26" i="36"/>
  <c r="D14" i="14" s="1"/>
  <c r="I191" i="36"/>
  <c r="I26" i="36" s="1"/>
  <c r="L24" i="36"/>
  <c r="M24" i="36" s="1"/>
  <c r="M180" i="36"/>
  <c r="L19" i="36"/>
  <c r="M19" i="36" s="1"/>
  <c r="L23" i="36"/>
  <c r="M23" i="36" s="1"/>
  <c r="M167" i="36"/>
  <c r="M136" i="36"/>
  <c r="L21" i="36"/>
  <c r="M21" i="36" s="1"/>
  <c r="L191" i="36"/>
  <c r="N191" i="36" l="1"/>
  <c r="N26" i="36" s="1"/>
  <c r="E14" i="14" s="1"/>
  <c r="L26" i="36"/>
  <c r="F14" i="14" s="1"/>
  <c r="M191" i="36"/>
  <c r="M26" i="36" l="1"/>
  <c r="B27" i="36"/>
  <c r="B28" i="36" s="1"/>
  <c r="D28" i="35" l="1"/>
  <c r="C28" i="35"/>
  <c r="B28" i="35"/>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<sst xmlns="http://schemas.openxmlformats.org/spreadsheetml/2006/main" count="583" uniqueCount="332">
  <si>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</si>
  <si>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</si>
  <si>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</si>
  <si>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</si>
  <si>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</si>
  <si>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</si>
  <si>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</si>
  <si>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</si>
  <si>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</si>
  <si>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</si>
  <si>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</si>
  <si>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</si>
  <si>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</si>
  <si>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</si>
  <si>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</si>
  <si>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</si>
  <si>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</si>
  <si>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</si>
  <si>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</si>
  <si>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</si>
  <si>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</si>
  <si>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</si>
  <si>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</si>
  <si>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</si>
  <si>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</si>
  <si>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</si>
  <si>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</si>
  <si>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</si>
  <si>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</si>
  <si>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</si>
  <si>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</si>
  <si>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</si>
  <si>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</si>
  <si>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</si>
  <si>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</si>
  <si>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</si>
  <si>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</si>
  <si>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Venice Family Clinic</t>
  </si>
  <si>
    <t>PROGRAM NAME:</t>
  </si>
  <si>
    <t>Comprehensive Care for Santa Monica Residents in Need</t>
  </si>
  <si>
    <t>REPORTING PERIOD:</t>
  </si>
  <si>
    <t>FY 2023-24 Program Budget: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</si>
  <si>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</si>
  <si>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</si>
  <si>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</si>
  <si>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</si>
  <si>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</si>
  <si>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</si>
  <si>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</si>
  <si>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</si>
  <si>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</si>
  <si>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Senior/Executive Management</t>
  </si>
  <si>
    <t>Mid-Year Report (1st Period): 7/1/23 - 12/31/23</t>
  </si>
  <si>
    <t>Administrative Support</t>
  </si>
  <si>
    <t>Year-End Report (2nd Period): 7/1/23 - 6/30/24</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</si>
  <si>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</si>
  <si>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</si>
  <si>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</si>
  <si>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</si>
  <si>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</si>
  <si>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</si>
  <si>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</si>
  <si>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</si>
  <si>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 FTE to Program</t>
  </si>
  <si>
    <t>Accountants</t>
  </si>
  <si>
    <t>Andrea Blackbird</t>
  </si>
  <si>
    <t>Chief Financial Officer</t>
  </si>
  <si>
    <t>Anita Zamora</t>
  </si>
  <si>
    <t>Chief Operating Officer</t>
  </si>
  <si>
    <t>Bertha Menjivar</t>
  </si>
  <si>
    <t>Clinical Social Worker</t>
  </si>
  <si>
    <t>Billing/Data Entry</t>
  </si>
  <si>
    <t>Brigid Sweeney</t>
  </si>
  <si>
    <t>Program Manager</t>
  </si>
  <si>
    <t>Call Center Staff</t>
  </si>
  <si>
    <t>Dental Assistants</t>
  </si>
  <si>
    <t>Dental Clinic Coordinators</t>
  </si>
  <si>
    <t>Dentists</t>
  </si>
  <si>
    <t>Facilities Staff</t>
  </si>
  <si>
    <t>Front Desk Receptionists</t>
  </si>
  <si>
    <t>Health Educators</t>
  </si>
  <si>
    <t>Heath Insurance Enrollment Workers</t>
  </si>
  <si>
    <t>Health Insurance Enrollment Workers</t>
  </si>
  <si>
    <t>Hector Garcia</t>
  </si>
  <si>
    <t>Director of Facilities</t>
  </si>
  <si>
    <t>Emilia P Robles</t>
  </si>
  <si>
    <t>Clinic Coordinator</t>
  </si>
  <si>
    <t>HR Staff</t>
  </si>
  <si>
    <t>Jamie L. Chavez</t>
  </si>
  <si>
    <t>Medical Assistant 3</t>
  </si>
  <si>
    <t>Jason Hua</t>
  </si>
  <si>
    <t>Chief Information Officer</t>
  </si>
  <si>
    <t>Jenny O'Brien</t>
  </si>
  <si>
    <t>Director of Foundation Relations</t>
  </si>
  <si>
    <t>Lorena Ramirez</t>
  </si>
  <si>
    <t>Site Manager</t>
  </si>
  <si>
    <t>Lovelee Brown</t>
  </si>
  <si>
    <t>Staff Physician</t>
  </si>
  <si>
    <t>Medical Assistants</t>
  </si>
  <si>
    <t>Medical Record Clerks</t>
  </si>
  <si>
    <t>Medical Records Clerks</t>
  </si>
  <si>
    <t>MIS Staff</t>
  </si>
  <si>
    <t>Mitesh Popat</t>
  </si>
  <si>
    <t>Chief Executive Officer</t>
  </si>
  <si>
    <t>Nurse Practitioners</t>
  </si>
  <si>
    <t>Pharmacists</t>
  </si>
  <si>
    <t>Phlebotomists</t>
  </si>
  <si>
    <t>Physician Assistants</t>
  </si>
  <si>
    <t>Physicians</t>
  </si>
  <si>
    <t>Registered Nurses</t>
  </si>
  <si>
    <t>Saya Yusa</t>
  </si>
  <si>
    <t>Asc Physician Diplomate</t>
  </si>
  <si>
    <t>Security Guards</t>
  </si>
  <si>
    <t>Social Workers</t>
  </si>
  <si>
    <t>Stefanie Barreiro</t>
  </si>
  <si>
    <t>Volunteer Services Manager</t>
  </si>
  <si>
    <t>Theresa Arce</t>
  </si>
  <si>
    <t>Revenue Cycle Director</t>
  </si>
  <si>
    <t>Trevor Kenji Oelrich</t>
  </si>
  <si>
    <t>Pharmacist</t>
  </si>
  <si>
    <t>Valerie Romero</t>
  </si>
  <si>
    <t>Medical Assistant II</t>
  </si>
  <si>
    <t>Barba,Arron A</t>
  </si>
  <si>
    <t>Program Director</t>
  </si>
  <si>
    <t>O'Connor,Jessica M</t>
  </si>
  <si>
    <t>Retention Case Manager</t>
  </si>
  <si>
    <t>Smullin,Bonnie D</t>
  </si>
  <si>
    <t>Case Manager/Benefits Specialist</t>
  </si>
  <si>
    <t>Cerrato,Joslynn L</t>
  </si>
  <si>
    <t>Case Manager/Retention</t>
  </si>
  <si>
    <t>Heller,Jacob Aaron</t>
  </si>
  <si>
    <t>Prevention Supervisor</t>
  </si>
  <si>
    <t>Blackman,Cyndi Marie</t>
  </si>
  <si>
    <t>Prevention Advocate</t>
  </si>
  <si>
    <t>Burga,Joanna I</t>
  </si>
  <si>
    <t>Garcia,Eileen P</t>
  </si>
  <si>
    <t>Clinical Specialist</t>
  </si>
  <si>
    <t>Garcia,Julie</t>
  </si>
  <si>
    <t>Case Manager Supervisor</t>
  </si>
  <si>
    <t>Lazaro,Jorge</t>
  </si>
  <si>
    <t>Clinical Coordinator</t>
  </si>
  <si>
    <t>Lopez Rodriguez,Miguel</t>
  </si>
  <si>
    <t>Smith, Quatrel'le</t>
  </si>
  <si>
    <t>Smith,Andrea Darlene</t>
  </si>
  <si>
    <t>O'Hara,Leslie Lynn</t>
  </si>
  <si>
    <t>Hepatitis C Coordinator</t>
  </si>
  <si>
    <t>O'Malley, Devon</t>
  </si>
  <si>
    <t>TBH</t>
  </si>
  <si>
    <t>Front Desk</t>
  </si>
  <si>
    <t>Stroik,Jessica Anne</t>
  </si>
  <si>
    <t>1A.  Staff Salaries TOTAL</t>
  </si>
  <si>
    <t>1B.  Staff Fringe Benefits</t>
  </si>
  <si>
    <t>List each fringe benefit as a percentage of total staff salaries listed above (FICA, SUI, Workers’ Compensation, Medical Insurance, Retirement, etc.).</t>
  </si>
  <si>
    <t>Description</t>
  </si>
  <si>
    <t>Health Insurance</t>
  </si>
  <si>
    <t> </t>
  </si>
  <si>
    <t>FICA</t>
  </si>
  <si>
    <t>Unemployment Insurance</t>
  </si>
  <si>
    <t>Disability Insurance</t>
  </si>
  <si>
    <t>Life Insurance</t>
  </si>
  <si>
    <t>Optical &amp; Dental Insurance</t>
  </si>
  <si>
    <t>Worker's Compensation Insurance</t>
  </si>
  <si>
    <t>Pension/Retirement</t>
  </si>
  <si>
    <t>1B.  Staff Fringe Benefits TOTAL</t>
  </si>
  <si>
    <t>2.  Consultant Services</t>
  </si>
  <si>
    <t>List each consultant to be funded. Include type of service, total budgeted expense, and any additional information to support the use of consultants as opposed to staff or volunteers.</t>
  </si>
  <si>
    <t>SLGG (Auditor)</t>
  </si>
  <si>
    <t>Optometrists</t>
  </si>
  <si>
    <t>UCLA Teen Clinic (3 sessions per week)</t>
  </si>
  <si>
    <t>Psychiatrist (Spanish Speaking)</t>
  </si>
  <si>
    <t>Pediatrician through UCLA</t>
  </si>
  <si>
    <t>Physicians through UCLA</t>
  </si>
  <si>
    <t>2.  Consultant Services TOTAL</t>
  </si>
  <si>
    <t>3.  Operating Expenses</t>
  </si>
  <si>
    <t>List all operating expenses [e.g., space/rent expense, utilities, facility maintenance, equipment, insurance, office supplies, printing, audit fees, travel, training, etc.].</t>
  </si>
  <si>
    <t>Utilities</t>
  </si>
  <si>
    <t>Building Maintenance, Janitorial Services &amp; Gardening</t>
  </si>
  <si>
    <t>Rent &amp; Property Taxes</t>
  </si>
  <si>
    <t>Computer/Software/Hardware</t>
  </si>
  <si>
    <t>Continuing Medical Education for Mngmt &amp; Professional Staff</t>
  </si>
  <si>
    <t>Training &amp; Workshop for various staff</t>
  </si>
  <si>
    <t>Director's &amp; Officer's Liability Insurance</t>
  </si>
  <si>
    <t>Building/General Liability &amp; Auto Insurance</t>
  </si>
  <si>
    <t>Telephone/Answering Service &amp; Postage</t>
  </si>
  <si>
    <t>Supplies: Office, Computer, Building, Kitchen</t>
  </si>
  <si>
    <t>Printing &amp; Duplicating</t>
  </si>
  <si>
    <t>Equipment Maintenance</t>
  </si>
  <si>
    <t>Licenses, Fees &amp; Dues</t>
  </si>
  <si>
    <t>Books, Subscriptions &amp; Publications</t>
  </si>
  <si>
    <t>Staff Recruitment/Retention/Welfare</t>
  </si>
  <si>
    <t>Program Supplies and Client Engagement</t>
  </si>
  <si>
    <t>3.  Operating Expenses TOTAL</t>
  </si>
  <si>
    <t>4.  Direct Client Support</t>
  </si>
  <si>
    <t>List any expenses associated with direct service provision, individual client support, scholarships, or stipends. Include estimated number of recipients.</t>
  </si>
  <si>
    <t>Social Work Interns Stipend (2)</t>
  </si>
  <si>
    <t>4.  Scholarships/Stipends TOTAL</t>
  </si>
  <si>
    <t>5.  Other</t>
  </si>
  <si>
    <t>List any program expense not appropriate for any of the above line items and provide justification.</t>
  </si>
  <si>
    <t>Patients Transportation</t>
  </si>
  <si>
    <t>Medical/Optometry Supplies</t>
  </si>
  <si>
    <t>Drugs &amp; Pharmacy Supplies</t>
  </si>
  <si>
    <t>Laboratory &amp; X-ray Services</t>
  </si>
  <si>
    <t>Work Supplies</t>
  </si>
  <si>
    <t>Client Supplies</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</si>
  <si>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</si>
  <si>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</si>
  <si>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</si>
  <si>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</si>
  <si>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</si>
  <si>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</si>
  <si>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</si>
  <si>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</si>
  <si>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</si>
  <si>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</si>
  <si>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</si>
  <si>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</si>
  <si>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</si>
  <si>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</si>
  <si>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</si>
  <si>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</si>
  <si>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</si>
  <si>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</si>
  <si>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</si>
  <si>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</si>
  <si>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</si>
  <si>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</si>
  <si>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</si>
  <si>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</si>
  <si>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</si>
  <si>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</si>
  <si>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</si>
  <si>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</si>
  <si>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</si>
  <si>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</si>
  <si>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</si>
  <si>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</si>
  <si>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</si>
  <si>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</si>
  <si>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</si>
  <si>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</si>
  <si>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</si>
  <si>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</si>
  <si>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</si>
  <si>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</si>
  <si>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</si>
  <si>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</si>
  <si>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</si>
  <si>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</si>
  <si>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</si>
  <si>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</si>
  <si>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</si>
  <si>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</si>
  <si>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</si>
  <si>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</si>
  <si>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</si>
  <si>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</si>
  <si>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</si>
  <si>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</si>
  <si>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</si>
  <si>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</si>
  <si>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</si>
  <si>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</si>
  <si>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</si>
  <si>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</si>
  <si>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</si>
  <si>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</si>
  <si>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</si>
  <si>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</si>
  <si>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</si>
  <si>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</si>
  <si>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</si>
  <si>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</si>
  <si>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</si>
  <si>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</si>
  <si>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</si>
  <si>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</si>
  <si>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</si>
  <si>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</si>
  <si>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</si>
  <si>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</si>
  <si>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</si>
  <si>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</si>
  <si>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</si>
  <si>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</si>
  <si>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</si>
  <si>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</si>
  <si>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</si>
  <si>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</si>
  <si>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</si>
  <si>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</si>
  <si>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</si>
  <si>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</si>
  <si>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</si>
  <si>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</si>
  <si>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</si>
  <si>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</si>
  <si>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</si>
  <si>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</si>
  <si>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</si>
  <si>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</si>
  <si>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</si>
  <si>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</si>
  <si>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</si>
  <si>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</si>
  <si>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</si>
  <si>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</si>
  <si>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</si>
  <si>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</si>
  <si>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Health_and_Wellness</t>
  </si>
  <si>
    <t>Improve Physical Health</t>
  </si>
  <si>
    <t>Output</t>
  </si>
  <si>
    <t>Participant receives high-quality primary health care services</t>
  </si>
  <si>
    <t>1750 SMPP</t>
  </si>
  <si>
    <t>Electronic Health Record</t>
  </si>
  <si>
    <t>For all of our indicators, we set our targets based on what we accomplished the previous year. It can sometimes be difficult to predict how many patients we will see in a year, and it seems we may have underestimated how many SMPP we would see this year. One reason is that we are seeing more patients in 2023 following several years that were heavily impacted by COVID. In particular, we are seeing more patients at our Santa Monica location (Simms) than we did in previous years. We are thrilled to be exceeding our target on this measure, and we hope to continue this progress into the new fiscal year.</t>
  </si>
  <si>
    <t>Outcome</t>
  </si>
  <si>
    <t>46% of patients will be up-to-date on a combined measure of preventive cancer screenings (cervical, breast, colorectal)</t>
  </si>
  <si>
    <t>800 SMPP</t>
  </si>
  <si>
    <t>Children receive preventive and primary care as clinically indicated.</t>
  </si>
  <si>
    <t>770 SMPP</t>
  </si>
  <si>
    <t>75% of children ages 3-21 are up-to-date on their well child visits.</t>
  </si>
  <si>
    <t>579 SMPP</t>
  </si>
  <si>
    <t>Venice Family Clinic will make strong linkages to care for the most vulnerable in Santa Monica.</t>
  </si>
  <si>
    <t>40 SMPP</t>
  </si>
  <si>
    <t>For all of our indicators, we set our targets based on what we accomplished the previous year. It can sometimes be difficult to predict how many patients we will see in a year, and it seems we may have overestimated how many SMPP we would see this year. Additionally, in our Mid-Year report, we inadvertently included patients whom we coded as homeless. The corrected number for this Output is now included.</t>
  </si>
  <si>
    <t>For all of our indicators, we set our targets based on what we accomplished the previous year. It can sometimes be difficult to predict how many patients we will see in a year, and it seems we may have overestimated how many SMPP we would see this year. Additionally, our numbers for this Output are lower than anticipated, due to not including patients coded as homeless.</t>
  </si>
  <si>
    <t>90% of participants diagnosed with HIV and/or Hepatitis C will be linked and retained in medical care utilizing wrap-around programming.</t>
  </si>
  <si>
    <t>36 SMPP</t>
  </si>
  <si>
    <t>Electronic Health Record; 
Data collection encounters</t>
  </si>
  <si>
    <t>For all of our indicators, we set our targets based on what we accomplished the previous year. It can sometimes be difficult to predict how many patients we will see in a year, and it seems we may have overestimated how many SMPP we would see this year. Additionally, in our Mid-Year report, we inadvertently included patients whom we coded as homeless. The corrected number for this Outcome is now included.</t>
  </si>
  <si>
    <t>For all of our indicators, we set our targets based on what we accomplished the previous year. It can sometimes be difficult to predict how many patients we will see in a year, and it seems we may have overestimated how many SMPP we would see this year. Additionally, our numbers for this Outcome are lower than anticipated, due to not including patients coded as homeless. Regardless, we are happy to report that 100% of participants diagnosed with HIV and/or Hepatitis C were linked and retained in medical care utilizing wrap-around programming, surpassing our goal of 90%.</t>
  </si>
  <si>
    <t>Secondary Indicators (Note: secondary indicators are optional. Indicators listed here can be used to further illustrate programs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</si>
</sst>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s>
  <fonts count="35"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10"/>
      <color theme="1"/>
      <name val="Arial"/>
      <family val="2"/>
    </font>
  </fonts>
  <fills count="18">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AF1DD"/>
        <bgColor rgb="FFEAF1DD"/>
      </patternFill>
    </fill>
    <fill>
      <patternFill patternType="solid">
        <fgColor rgb="FFF2DBDB"/>
        <bgColor rgb="FFF2DBDB"/>
      </patternFill>
    </fill>
    <fill>
      <patternFill patternType="solid">
        <fgColor rgb="FFD9D9D9"/>
        <bgColor rgb="FF000000"/>
      </patternFill>
    </fill>
  </fills>
  <borders count="5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53">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1"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0"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7"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32" xfId="5" applyNumberFormat="1" applyFont="1" applyFill="1" applyBorder="1" applyAlignment="1" applyProtection="1">
      <alignment horizontal="left" vertical="top" wrapText="1"/>
    </xf>
    <xf numFmtId="49" fontId="1" fillId="11" borderId="35"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40" xfId="5" applyNumberFormat="1" applyFont="1" applyFill="1" applyBorder="1" applyAlignment="1" applyProtection="1">
      <alignment horizontal="left" vertical="top" wrapText="1"/>
    </xf>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42" fontId="1" fillId="6" borderId="19" xfId="2" applyNumberFormat="1" applyFont="1" applyFill="1" applyBorder="1" applyProtection="1"/>
    <xf numFmtId="42" fontId="1" fillId="7" borderId="19" xfId="2" applyNumberFormat="1" applyFont="1" applyFill="1" applyBorder="1" applyProtection="1"/>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14" fontId="1" fillId="6" borderId="18" xfId="2" applyNumberFormat="1" applyFont="1" applyFill="1" applyBorder="1" applyProtection="1"/>
    <xf numFmtId="42"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4"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0" borderId="19" xfId="3" applyNumberFormat="1" applyBorder="1"/>
    <xf numFmtId="42" fontId="1" fillId="6" borderId="21" xfId="3" applyNumberFormat="1" applyFill="1" applyBorder="1"/>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9" fontId="1" fillId="11" borderId="20" xfId="0" applyNumberFormat="1" applyFont="1" applyFill="1" applyBorder="1" applyAlignment="1">
      <alignment horizontal="center" vertical="top" shrinkToFit="1"/>
    </xf>
    <xf numFmtId="0" fontId="2" fillId="4" borderId="45" xfId="3" applyFont="1" applyFill="1" applyBorder="1" applyAlignment="1">
      <alignment horizontal="lef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25" xfId="0" applyNumberFormat="1" applyFont="1" applyFill="1" applyBorder="1" applyAlignment="1">
      <alignment horizontal="left" vertical="top"/>
    </xf>
    <xf numFmtId="49" fontId="1" fillId="11" borderId="27" xfId="0" applyNumberFormat="1" applyFont="1" applyFill="1" applyBorder="1" applyAlignment="1">
      <alignment horizontal="left" vertical="top" shrinkToFit="1"/>
    </xf>
    <xf numFmtId="49" fontId="1" fillId="11" borderId="27"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9" fontId="1" fillId="11" borderId="25" xfId="3" applyNumberFormat="1" applyFill="1" applyBorder="1" applyAlignment="1">
      <alignment horizontal="left" vertical="top"/>
    </xf>
    <xf numFmtId="49" fontId="1" fillId="11" borderId="25" xfId="3" applyNumberFormat="1" applyFill="1" applyBorder="1" applyAlignment="1">
      <alignment horizontal="left" vertical="top" wrapText="1"/>
    </xf>
    <xf numFmtId="49" fontId="1" fillId="11" borderId="37" xfId="3" applyNumberFormat="1" applyFill="1" applyBorder="1" applyAlignment="1">
      <alignment horizontal="left" vertical="top" wrapText="1"/>
    </xf>
    <xf numFmtId="49" fontId="1" fillId="11" borderId="26" xfId="3" applyNumberFormat="1" applyFill="1" applyBorder="1" applyAlignment="1">
      <alignment horizontal="left" vertical="top" wrapText="1"/>
    </xf>
    <xf numFmtId="0" fontId="2" fillId="4" borderId="34"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3" xfId="0" applyNumberFormat="1" applyFont="1" applyFill="1" applyBorder="1" applyAlignment="1">
      <alignment horizontal="left" vertical="top"/>
    </xf>
    <xf numFmtId="49" fontId="1" fillId="11" borderId="32" xfId="0" applyNumberFormat="1" applyFont="1" applyFill="1" applyBorder="1" applyAlignment="1">
      <alignment horizontal="left" vertical="top" shrinkToFit="1"/>
    </xf>
    <xf numFmtId="49" fontId="1" fillId="11" borderId="32" xfId="3" applyNumberFormat="1" applyFill="1" applyBorder="1" applyAlignment="1">
      <alignment horizontal="left" vertical="top" wrapText="1"/>
    </xf>
    <xf numFmtId="49" fontId="1" fillId="11" borderId="33" xfId="3" applyNumberFormat="1" applyFill="1" applyBorder="1" applyAlignment="1">
      <alignment horizontal="left" vertical="top" wrapText="1"/>
    </xf>
    <xf numFmtId="49" fontId="1" fillId="11" borderId="43" xfId="3" applyNumberFormat="1" applyFill="1" applyBorder="1" applyAlignment="1">
      <alignment horizontal="left" vertical="top"/>
    </xf>
    <xf numFmtId="42" fontId="1" fillId="6" borderId="20" xfId="2" applyNumberFormat="1" applyFont="1" applyFill="1" applyBorder="1" applyProtection="1"/>
    <xf numFmtId="49" fontId="1" fillId="11" borderId="35" xfId="3" applyNumberFormat="1" applyFill="1" applyBorder="1" applyAlignment="1">
      <alignment horizontal="left" vertical="top" wrapText="1"/>
    </xf>
    <xf numFmtId="49" fontId="1" fillId="11" borderId="36" xfId="3" applyNumberFormat="1" applyFill="1" applyBorder="1" applyAlignment="1">
      <alignment horizontal="left" vertical="top" wrapText="1"/>
    </xf>
    <xf numFmtId="49" fontId="1" fillId="11" borderId="54" xfId="3" applyNumberFormat="1" applyFill="1" applyBorder="1" applyAlignment="1">
      <alignment horizontal="left" vertical="top"/>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2" xfId="0" applyNumberFormat="1" applyFont="1" applyFill="1" applyBorder="1" applyAlignment="1">
      <alignment horizontal="left" vertical="top" shrinkToFit="1"/>
    </xf>
    <xf numFmtId="49" fontId="1" fillId="11" borderId="38"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2" xfId="3" applyNumberFormat="1" applyFill="1" applyBorder="1" applyAlignment="1">
      <alignment horizontal="left" vertical="top" wrapText="1"/>
    </xf>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center" vertic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29" xfId="3" applyFont="1" applyFill="1" applyBorder="1" applyAlignment="1">
      <alignment horizontal="left" vertical="center" wrapText="1"/>
    </xf>
    <xf numFmtId="0" fontId="18" fillId="14" borderId="14" xfId="3" applyFont="1" applyFill="1" applyBorder="1" applyAlignment="1">
      <alignment horizontal="center" vertical="center" wrapText="1"/>
    </xf>
    <xf numFmtId="166" fontId="19" fillId="6" borderId="14" xfId="1" applyNumberFormat="1" applyFont="1" applyFill="1" applyBorder="1" applyAlignment="1" applyProtection="1">
      <alignment vertical="center" wrapText="1"/>
    </xf>
    <xf numFmtId="43" fontId="19" fillId="6" borderId="14" xfId="1" applyFont="1" applyFill="1" applyBorder="1" applyAlignment="1" applyProtection="1">
      <alignment vertical="center" wrapText="1"/>
    </xf>
    <xf numFmtId="166" fontId="19" fillId="6" borderId="14" xfId="1" quotePrefix="1" applyNumberFormat="1" applyFont="1" applyFill="1" applyBorder="1" applyAlignment="1" applyProtection="1">
      <alignment vertical="center" wrapText="1"/>
    </xf>
    <xf numFmtId="43" fontId="18" fillId="6" borderId="14" xfId="1" applyFont="1" applyFill="1" applyBorder="1" applyAlignment="1" applyProtection="1">
      <alignment vertical="center"/>
    </xf>
    <xf numFmtId="43" fontId="19" fillId="6" borderId="14" xfId="1" quotePrefix="1" applyFont="1" applyFill="1" applyBorder="1" applyAlignment="1" applyProtection="1">
      <alignment vertical="center" wrapText="1"/>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26" fillId="5" borderId="47" xfId="0" applyFont="1" applyFill="1" applyBorder="1" applyAlignment="1">
      <alignment horizontal="center" vertical="center" wrapText="1"/>
    </xf>
    <xf numFmtId="0" fontId="26" fillId="5" borderId="52"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0" xfId="0" applyFont="1" applyFill="1" applyBorder="1"/>
    <xf numFmtId="0" fontId="9" fillId="12" borderId="48" xfId="0" applyFont="1" applyFill="1" applyBorder="1"/>
    <xf numFmtId="0" fontId="9" fillId="12" borderId="49" xfId="0" applyFont="1" applyFill="1" applyBorder="1"/>
    <xf numFmtId="0" fontId="27" fillId="11" borderId="14" xfId="0" applyFont="1" applyFill="1" applyBorder="1" applyAlignment="1">
      <alignment horizontal="center" vertical="center" wrapText="1"/>
    </xf>
    <xf numFmtId="0" fontId="0" fillId="6" borderId="48" xfId="0" applyFill="1" applyBorder="1"/>
    <xf numFmtId="0" fontId="0" fillId="6" borderId="49" xfId="0" applyFill="1" applyBorder="1" applyAlignment="1">
      <alignment wrapText="1"/>
    </xf>
    <xf numFmtId="0" fontId="1" fillId="17" borderId="48" xfId="0" applyFont="1" applyFill="1" applyBorder="1"/>
    <xf numFmtId="9" fontId="0" fillId="11" borderId="49" xfId="0" applyNumberFormat="1" applyFill="1" applyBorder="1"/>
    <xf numFmtId="0" fontId="1" fillId="17" borderId="58" xfId="0" applyFont="1" applyFill="1" applyBorder="1"/>
    <xf numFmtId="0" fontId="0" fillId="6" borderId="14" xfId="0" applyFill="1" applyBorder="1" applyAlignment="1">
      <alignment wrapText="1"/>
    </xf>
    <xf numFmtId="0" fontId="27" fillId="16" borderId="56" xfId="0" applyFont="1" applyFill="1" applyBorder="1" applyAlignment="1">
      <alignment horizontal="center" vertical="center" wrapText="1"/>
    </xf>
    <xf numFmtId="0" fontId="0" fillId="6" borderId="49" xfId="0" applyFill="1" applyBorder="1"/>
    <xf numFmtId="0" fontId="0" fillId="6" borderId="14" xfId="0" applyFill="1" applyBorder="1"/>
    <xf numFmtId="0" fontId="0" fillId="13" borderId="49" xfId="0" applyFill="1" applyBorder="1"/>
    <xf numFmtId="9" fontId="27" fillId="16" borderId="56" xfId="0" applyNumberFormat="1"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34" fillId="13" borderId="14" xfId="0" applyFont="1" applyFill="1" applyBorder="1" applyAlignment="1">
      <alignment horizontal="center" wrapText="1"/>
    </xf>
    <xf numFmtId="0" fontId="34" fillId="13" borderId="14" xfId="0" applyFont="1" applyFill="1" applyBorder="1" applyAlignment="1">
      <alignment horizontal="center" vertical="center" wrapText="1"/>
    </xf>
    <xf numFmtId="9" fontId="27" fillId="13" borderId="14" xfId="0" applyNumberFormat="1" applyFont="1" applyFill="1" applyBorder="1" applyAlignment="1">
      <alignment horizontal="center" vertical="center" wrapText="1"/>
    </xf>
    <xf numFmtId="0" fontId="27" fillId="13" borderId="30" xfId="0" applyFont="1" applyFill="1" applyBorder="1" applyAlignment="1">
      <alignment horizontal="center" vertical="center" wrapText="1"/>
    </xf>
    <xf numFmtId="0" fontId="0" fillId="6" borderId="50" xfId="0" applyFill="1" applyBorder="1"/>
    <xf numFmtId="0" fontId="0" fillId="6" borderId="51" xfId="0" applyFill="1" applyBorder="1"/>
    <xf numFmtId="0" fontId="0" fillId="6" borderId="53" xfId="0" applyFill="1" applyBorder="1"/>
    <xf numFmtId="0" fontId="0" fillId="13" borderId="51" xfId="0" applyFill="1" applyBorder="1"/>
    <xf numFmtId="0" fontId="2" fillId="0" borderId="0" xfId="0" applyFont="1"/>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19" fillId="0" borderId="14" xfId="3" quotePrefix="1" applyFont="1" applyBorder="1" applyAlignment="1">
      <alignment horizontal="right" vertical="center"/>
    </xf>
    <xf numFmtId="0" fontId="18" fillId="4" borderId="30"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28" xfId="3" applyFont="1" applyFill="1" applyBorder="1" applyAlignment="1">
      <alignment horizontal="center" vertical="center" wrapText="1"/>
    </xf>
    <xf numFmtId="0" fontId="4" fillId="0" borderId="30" xfId="0" applyFont="1" applyBorder="1" applyAlignment="1">
      <alignment horizontal="right" vertical="center"/>
    </xf>
    <xf numFmtId="0" fontId="4" fillId="0" borderId="28" xfId="0" applyFont="1" applyBorder="1" applyAlignment="1">
      <alignment horizontal="right" vertical="center"/>
    </xf>
    <xf numFmtId="0" fontId="18" fillId="14" borderId="14" xfId="3" applyFont="1" applyFill="1" applyBorder="1" applyAlignment="1">
      <alignment horizontal="left"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0" xfId="3" applyFont="1" applyBorder="1" applyAlignment="1">
      <alignment horizontal="left" wrapText="1"/>
    </xf>
    <xf numFmtId="0" fontId="29" fillId="0" borderId="15" xfId="3" applyFont="1" applyBorder="1" applyAlignment="1">
      <alignment horizontal="left" wrapText="1"/>
    </xf>
    <xf numFmtId="0" fontId="29" fillId="0" borderId="28" xfId="3" applyFont="1" applyBorder="1" applyAlignment="1">
      <alignment horizontal="left" wrapText="1"/>
    </xf>
    <xf numFmtId="0" fontId="27" fillId="0" borderId="14" xfId="0" applyFont="1" applyBorder="1" applyAlignment="1">
      <alignment horizontal="center" vertical="center" wrapText="1"/>
    </xf>
    <xf numFmtId="0" fontId="27" fillId="15" borderId="55" xfId="0" applyFont="1" applyFill="1" applyBorder="1" applyAlignment="1">
      <alignment horizontal="center" vertical="center" wrapText="1"/>
    </xf>
    <xf numFmtId="0" fontId="1" fillId="0" borderId="57" xfId="0" applyFont="1" applyBorder="1"/>
    <xf numFmtId="0" fontId="27" fillId="11" borderId="14"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xf numFmtId="0" fontId="27" fillId="13" borderId="29" xfId="0" applyFont="1" applyFill="1" applyBorder="1" applyAlignment="1">
      <alignment horizontal="center" wrapText="1"/>
    </xf>
    <xf numFmtId="0" fontId="27" fillId="13" borderId="31" xfId="0" applyFont="1" applyFill="1" applyBorder="1" applyAlignment="1">
      <alignment horizontal="center" wrapText="1"/>
    </xf>
    <xf numFmtId="0" fontId="27" fillId="13" borderId="14" xfId="0" applyFont="1" applyFill="1" applyBorder="1" applyAlignment="1">
      <alignment horizontal="center" vertical="center" wrapText="1"/>
    </xf>
    <xf numFmtId="0" fontId="27" fillId="16" borderId="55" xfId="0" applyFont="1" applyFill="1" applyBorder="1" applyAlignment="1">
      <alignment horizontal="center" vertical="center" wrapText="1"/>
    </xf>
    <xf numFmtId="0" fontId="27" fillId="13" borderId="29"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34" fillId="13" borderId="29" xfId="0" applyFont="1" applyFill="1" applyBorder="1" applyAlignment="1">
      <alignment horizontal="center" vertical="center" wrapText="1"/>
    </xf>
    <xf numFmtId="0" fontId="34" fillId="13" borderId="31" xfId="0" applyFont="1" applyFill="1" applyBorder="1" applyAlignment="1">
      <alignment horizontal="center" vertical="center" wrapTex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104775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activeCell="A12" sqref="A12:C12"/>
    </sheetView>
  </sheetViews>
  <sheetFormatPr defaultColWidth="9.140625" defaultRowHeight="12.75" x14ac:dyDescent="0.2"/>
  <cols>
    <col min="1" max="2" width="28.140625" style="1" customWidth="1"/>
    <col min="3" max="3" width="32.7109375" style="1" customWidth="1"/>
    <col min="4" max="16384" width="9.140625" style="1"/>
  </cols>
  <sheetData>
    <row r="1" spans="1:3" s="87" customFormat="1" ht="18" x14ac:dyDescent="0.25">
      <c r="A1" s="301" t="s">
        <v>0</v>
      </c>
      <c r="B1" s="301"/>
      <c r="C1" s="301"/>
    </row>
    <row r="2" spans="1:3" s="87" customFormat="1" ht="18" x14ac:dyDescent="0.25">
      <c r="A2" s="107"/>
      <c r="B2" s="107" t="s">
        <v>1</v>
      </c>
      <c r="C2" s="107"/>
    </row>
    <row r="3" spans="1:3" s="88" customFormat="1" ht="18" x14ac:dyDescent="0.25">
      <c r="A3" s="301" t="s">
        <v>2</v>
      </c>
      <c r="B3" s="301"/>
      <c r="C3" s="301"/>
    </row>
    <row r="4" spans="1:3" s="89" customFormat="1" ht="13.5" thickBot="1" x14ac:dyDescent="0.25">
      <c r="A4" s="88"/>
      <c r="B4" s="88"/>
      <c r="C4" s="88"/>
    </row>
    <row r="5" spans="1:3" s="88" customFormat="1" ht="15.75" thickBot="1" x14ac:dyDescent="0.25">
      <c r="A5" s="90" t="s">
        <v>3</v>
      </c>
      <c r="B5" s="91" t="s">
        <v>4</v>
      </c>
      <c r="C5" s="91" t="s">
        <v>5</v>
      </c>
    </row>
    <row r="6" spans="1:3" s="88" customFormat="1" ht="29.25" thickBot="1" x14ac:dyDescent="0.25">
      <c r="A6" s="29" t="s">
        <v>6</v>
      </c>
      <c r="B6" s="28" t="s">
        <v>7</v>
      </c>
      <c r="C6" s="27">
        <v>45327</v>
      </c>
    </row>
    <row r="7" spans="1:3" s="88" customFormat="1" ht="29.25" thickBot="1" x14ac:dyDescent="0.25">
      <c r="A7" s="29" t="s">
        <v>8</v>
      </c>
      <c r="B7" s="28" t="s">
        <v>9</v>
      </c>
      <c r="C7" s="27">
        <v>45509</v>
      </c>
    </row>
    <row r="9" spans="1:3" ht="17.25" customHeight="1" x14ac:dyDescent="0.2">
      <c r="A9" s="302" t="s">
        <v>10</v>
      </c>
      <c r="B9" s="302"/>
      <c r="C9" s="302"/>
    </row>
    <row r="10" spans="1:3" ht="64.5" customHeight="1" x14ac:dyDescent="0.2">
      <c r="A10" s="300" t="s">
        <v>11</v>
      </c>
      <c r="B10" s="300"/>
      <c r="C10" s="300"/>
    </row>
    <row r="11" spans="1:3" ht="45.75" customHeight="1" x14ac:dyDescent="0.2">
      <c r="A11" s="300" t="s">
        <v>12</v>
      </c>
      <c r="B11" s="300"/>
      <c r="C11" s="300"/>
    </row>
    <row r="12" spans="1:3" ht="90" customHeight="1" x14ac:dyDescent="0.2">
      <c r="A12" s="300" t="s">
        <v>13</v>
      </c>
      <c r="B12" s="300"/>
      <c r="C12" s="300"/>
    </row>
    <row r="13" spans="1:3" ht="11.25" customHeight="1" x14ac:dyDescent="0.2">
      <c r="A13" s="300"/>
      <c r="B13" s="300"/>
      <c r="C13" s="300"/>
    </row>
  </sheetData>
  <sheetProtection algorithmName="SHA-512" hashValue="+PZf42hnx4wS9vy5hpxvBL7Pg3LyA//sjtBLzkU5QMtUFWdTPIqwvGDvu924podLr7jlOwdSfY8U90SbnA1I1w==" saltValue="11H8rM2vCqXhtPHNYEdKxw=="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194"/>
  <sheetViews>
    <sheetView showGridLines="0" zoomScale="90" zoomScaleNormal="90" workbookViewId="0">
      <selection activeCell="A15" sqref="A15:N15"/>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13"/>
      <c r="C1" s="114"/>
      <c r="D1" s="114"/>
      <c r="E1" s="114"/>
      <c r="F1" s="114"/>
      <c r="G1" s="114"/>
      <c r="H1" s="114"/>
      <c r="I1" s="114"/>
      <c r="J1" s="114"/>
      <c r="K1" s="114"/>
      <c r="L1" s="114"/>
      <c r="M1" s="15"/>
      <c r="N1" s="14"/>
    </row>
    <row r="2" spans="1:14" ht="18" x14ac:dyDescent="0.2">
      <c r="A2" s="24" t="s">
        <v>15</v>
      </c>
      <c r="B2" s="113"/>
      <c r="C2" s="114"/>
      <c r="D2" s="114"/>
      <c r="E2" s="114"/>
      <c r="F2" s="114"/>
      <c r="G2" s="114"/>
      <c r="H2" s="114"/>
      <c r="I2" s="114"/>
      <c r="J2" s="114"/>
      <c r="K2" s="114"/>
      <c r="L2" s="114"/>
      <c r="M2" s="15"/>
      <c r="N2" s="14"/>
    </row>
    <row r="3" spans="1:14" ht="13.5" thickBot="1" x14ac:dyDescent="0.25">
      <c r="A3" s="113"/>
      <c r="B3" s="113"/>
      <c r="C3" s="114"/>
      <c r="D3" s="114"/>
      <c r="E3" s="114"/>
      <c r="F3" s="114"/>
      <c r="G3" s="114"/>
      <c r="H3" s="114"/>
      <c r="I3" s="114"/>
      <c r="J3" s="114"/>
      <c r="K3" s="114"/>
      <c r="L3" s="114"/>
      <c r="M3" s="15"/>
      <c r="N3" s="14"/>
    </row>
    <row r="4" spans="1:14" ht="15.75" thickBot="1" x14ac:dyDescent="0.3">
      <c r="A4" s="115" t="s">
        <v>16</v>
      </c>
      <c r="B4" s="116"/>
      <c r="C4" s="116"/>
      <c r="D4" s="116"/>
      <c r="E4" s="116"/>
      <c r="F4" s="116"/>
      <c r="G4" s="116"/>
      <c r="H4" s="116"/>
      <c r="I4" s="116"/>
      <c r="J4" s="116"/>
      <c r="K4" s="116"/>
      <c r="L4" s="116"/>
      <c r="M4" s="55"/>
      <c r="N4" s="117"/>
    </row>
    <row r="5" spans="1:14" s="113" customFormat="1" ht="28.5" customHeight="1" thickBot="1" x14ac:dyDescent="0.25">
      <c r="A5" s="312" t="s">
        <v>17</v>
      </c>
      <c r="B5" s="313"/>
      <c r="C5" s="313"/>
      <c r="D5" s="313"/>
      <c r="E5" s="313"/>
      <c r="F5" s="313"/>
      <c r="G5" s="313"/>
      <c r="H5" s="313"/>
      <c r="I5" s="313"/>
      <c r="J5" s="313"/>
      <c r="K5" s="313"/>
      <c r="L5" s="313"/>
      <c r="M5" s="313"/>
      <c r="N5" s="314"/>
    </row>
    <row r="6" spans="1:14" ht="16.5" customHeight="1" thickBot="1" x14ac:dyDescent="0.25">
      <c r="A6" s="315" t="s">
        <v>18</v>
      </c>
      <c r="B6" s="316"/>
      <c r="C6" s="316"/>
      <c r="D6" s="316"/>
      <c r="E6" s="316"/>
      <c r="F6" s="316"/>
      <c r="G6" s="316"/>
      <c r="H6" s="316"/>
      <c r="I6" s="316"/>
      <c r="J6" s="316"/>
      <c r="K6" s="316"/>
      <c r="L6" s="316"/>
      <c r="M6" s="316"/>
      <c r="N6" s="317"/>
    </row>
    <row r="7" spans="1:14" s="113" customFormat="1" ht="15" customHeight="1" x14ac:dyDescent="0.2">
      <c r="A7" s="118" t="s">
        <v>19</v>
      </c>
      <c r="B7" s="119"/>
      <c r="C7" s="119"/>
      <c r="N7" s="120"/>
    </row>
    <row r="8" spans="1:14" ht="15" customHeight="1" x14ac:dyDescent="0.2">
      <c r="A8" s="118" t="s">
        <v>20</v>
      </c>
      <c r="B8" s="119"/>
      <c r="C8" s="119"/>
      <c r="M8" s="1"/>
      <c r="N8" s="121"/>
    </row>
    <row r="9" spans="1:14" ht="7.5" customHeight="1" thickBot="1" x14ac:dyDescent="0.25">
      <c r="A9" s="122"/>
      <c r="B9" s="112"/>
      <c r="C9" s="112"/>
      <c r="M9" s="1"/>
      <c r="N9" s="121"/>
    </row>
    <row r="10" spans="1:14" ht="12.75" customHeight="1" thickBot="1" x14ac:dyDescent="0.25">
      <c r="A10" s="315" t="s">
        <v>21</v>
      </c>
      <c r="B10" s="316"/>
      <c r="C10" s="316"/>
      <c r="D10" s="316"/>
      <c r="E10" s="316"/>
      <c r="F10" s="316"/>
      <c r="G10" s="316"/>
      <c r="H10" s="316"/>
      <c r="I10" s="316"/>
      <c r="J10" s="316"/>
      <c r="K10" s="316"/>
      <c r="L10" s="316"/>
      <c r="M10" s="316"/>
      <c r="N10" s="317"/>
    </row>
    <row r="11" spans="1:14" x14ac:dyDescent="0.2">
      <c r="A11" s="320" t="s">
        <v>22</v>
      </c>
      <c r="B11" s="321"/>
      <c r="C11" s="321"/>
      <c r="D11" s="321"/>
      <c r="E11" s="321"/>
      <c r="F11" s="321"/>
      <c r="G11" s="321"/>
      <c r="H11" s="321"/>
      <c r="I11" s="321"/>
      <c r="J11" s="321"/>
      <c r="K11" s="321"/>
      <c r="L11" s="321"/>
      <c r="M11" s="321"/>
      <c r="N11" s="322"/>
    </row>
    <row r="12" spans="1:14" ht="13.5" thickBot="1" x14ac:dyDescent="0.25">
      <c r="A12" s="123" t="s">
        <v>23</v>
      </c>
      <c r="M12" s="1"/>
      <c r="N12" s="121"/>
    </row>
    <row r="13" spans="1:14" ht="12.75" customHeight="1" thickBot="1" x14ac:dyDescent="0.25">
      <c r="A13" s="315" t="s">
        <v>24</v>
      </c>
      <c r="B13" s="316"/>
      <c r="C13" s="316"/>
      <c r="D13" s="316"/>
      <c r="E13" s="316"/>
      <c r="F13" s="316"/>
      <c r="G13" s="316"/>
      <c r="H13" s="316"/>
      <c r="I13" s="316"/>
      <c r="J13" s="316"/>
      <c r="K13" s="316"/>
      <c r="L13" s="316"/>
      <c r="M13" s="316"/>
      <c r="N13" s="317"/>
    </row>
    <row r="14" spans="1:14" s="113" customFormat="1" ht="47.25" customHeight="1" x14ac:dyDescent="0.2">
      <c r="A14" s="318" t="s">
        <v>25</v>
      </c>
      <c r="B14" s="300"/>
      <c r="C14" s="300"/>
      <c r="D14" s="300"/>
      <c r="E14" s="300"/>
      <c r="F14" s="300"/>
      <c r="G14" s="300"/>
      <c r="H14" s="300"/>
      <c r="I14" s="300"/>
      <c r="J14" s="300"/>
      <c r="K14" s="300"/>
      <c r="L14" s="300"/>
      <c r="M14" s="300"/>
      <c r="N14" s="319"/>
    </row>
    <row r="15" spans="1:14" ht="87.75" customHeight="1" thickBot="1" x14ac:dyDescent="0.25">
      <c r="A15" s="303" t="s">
        <v>26</v>
      </c>
      <c r="B15" s="304"/>
      <c r="C15" s="304"/>
      <c r="D15" s="304"/>
      <c r="E15" s="304"/>
      <c r="F15" s="304"/>
      <c r="G15" s="304"/>
      <c r="H15" s="304"/>
      <c r="I15" s="304"/>
      <c r="J15" s="304"/>
      <c r="K15" s="304"/>
      <c r="L15" s="304"/>
      <c r="M15" s="304"/>
      <c r="N15" s="305"/>
    </row>
    <row r="16" spans="1:14" ht="13.5" thickBot="1" x14ac:dyDescent="0.25">
      <c r="A16" s="113"/>
      <c r="B16" s="113"/>
      <c r="C16" s="114"/>
      <c r="D16" s="114"/>
      <c r="E16" s="114"/>
      <c r="F16" s="114"/>
      <c r="G16" s="114"/>
      <c r="H16" s="114"/>
      <c r="I16" s="114"/>
      <c r="J16" s="114"/>
      <c r="K16" s="114"/>
      <c r="L16" s="114"/>
      <c r="M16" s="15"/>
      <c r="N16" s="14"/>
    </row>
    <row r="17" spans="1:14" ht="15.75" thickBot="1" x14ac:dyDescent="0.3">
      <c r="A17" s="115" t="s">
        <v>27</v>
      </c>
      <c r="B17" s="116"/>
      <c r="C17" s="116"/>
      <c r="D17" s="116"/>
      <c r="E17" s="116"/>
      <c r="F17" s="116"/>
      <c r="G17" s="116"/>
      <c r="H17" s="116"/>
      <c r="I17" s="116"/>
      <c r="J17" s="116"/>
      <c r="K17" s="116"/>
      <c r="L17" s="116"/>
      <c r="M17" s="55"/>
      <c r="N17" s="117"/>
    </row>
    <row r="18" spans="1:14" ht="33.75" x14ac:dyDescent="0.2">
      <c r="A18" s="124"/>
      <c r="B18" s="125"/>
      <c r="C18" s="125"/>
      <c r="D18" s="125"/>
      <c r="E18" s="125"/>
      <c r="F18" s="125"/>
      <c r="G18" s="126" t="s">
        <v>28</v>
      </c>
      <c r="H18" s="126" t="s">
        <v>29</v>
      </c>
      <c r="I18" s="126" t="s">
        <v>30</v>
      </c>
      <c r="J18" s="126" t="s">
        <v>31</v>
      </c>
      <c r="K18" s="126" t="s">
        <v>32</v>
      </c>
      <c r="L18" s="126" t="s">
        <v>33</v>
      </c>
      <c r="M18" s="58" t="s">
        <v>34</v>
      </c>
      <c r="N18" s="59" t="s">
        <v>35</v>
      </c>
    </row>
    <row r="19" spans="1:14" x14ac:dyDescent="0.2">
      <c r="A19" s="127" t="s">
        <v>36</v>
      </c>
      <c r="B19" s="128" t="s">
        <v>37</v>
      </c>
      <c r="C19" s="128"/>
      <c r="D19" s="129" t="str">
        <f>A45</f>
        <v>1A.  Staff Salaries</v>
      </c>
      <c r="G19" s="64">
        <f t="shared" ref="G19:K19" si="0">G108</f>
        <v>4562040.9459999995</v>
      </c>
      <c r="H19" s="64">
        <f t="shared" si="0"/>
        <v>176545</v>
      </c>
      <c r="I19" s="64">
        <f t="shared" si="0"/>
        <v>4385495.9459999995</v>
      </c>
      <c r="J19" s="64">
        <f t="shared" si="0"/>
        <v>87616.44</v>
      </c>
      <c r="K19" s="64">
        <f t="shared" si="0"/>
        <v>89938.4</v>
      </c>
      <c r="L19" s="64">
        <f>L108</f>
        <v>177554.84</v>
      </c>
      <c r="M19" s="12">
        <f t="shared" ref="M19:M26" si="1">IFERROR(L19/H19,"N/A")</f>
        <v>1.0057200147271235</v>
      </c>
      <c r="N19" s="66">
        <f>N108</f>
        <v>4563050.7860000003</v>
      </c>
    </row>
    <row r="20" spans="1:14" x14ac:dyDescent="0.2">
      <c r="A20" s="127" t="s">
        <v>38</v>
      </c>
      <c r="B20" s="130" t="s">
        <v>39</v>
      </c>
      <c r="C20" s="130"/>
      <c r="D20" s="129" t="str">
        <f>A110</f>
        <v>1B.  Staff Fringe Benefits</v>
      </c>
      <c r="G20" s="64">
        <f t="shared" ref="G20:I20" si="2">G123</f>
        <v>1687955.1500199998</v>
      </c>
      <c r="H20" s="64">
        <f t="shared" si="2"/>
        <v>65322</v>
      </c>
      <c r="I20" s="64">
        <f t="shared" si="2"/>
        <v>1622633.1500199998</v>
      </c>
      <c r="J20" s="64">
        <f>J123</f>
        <v>32060.04</v>
      </c>
      <c r="K20" s="64">
        <f>K123</f>
        <v>33277.370000000003</v>
      </c>
      <c r="L20" s="64">
        <f>L123</f>
        <v>65337.409999999996</v>
      </c>
      <c r="M20" s="12">
        <f t="shared" si="1"/>
        <v>1.0002359082698018</v>
      </c>
      <c r="N20" s="66">
        <f>N123</f>
        <v>1687970.56002</v>
      </c>
    </row>
    <row r="21" spans="1:14" x14ac:dyDescent="0.2">
      <c r="A21" s="123"/>
      <c r="D21" s="129" t="str">
        <f>A125</f>
        <v>2.  Consultant Services</v>
      </c>
      <c r="G21" s="64">
        <f t="shared" ref="G21:I21" si="3">G136</f>
        <v>5623.43</v>
      </c>
      <c r="H21" s="64">
        <f t="shared" si="3"/>
        <v>0</v>
      </c>
      <c r="I21" s="64">
        <f t="shared" si="3"/>
        <v>5623.43</v>
      </c>
      <c r="J21" s="64">
        <f>J136</f>
        <v>0</v>
      </c>
      <c r="K21" s="64">
        <f>K136</f>
        <v>0</v>
      </c>
      <c r="L21" s="64">
        <f>L136</f>
        <v>0</v>
      </c>
      <c r="M21" s="12" t="str">
        <f t="shared" si="1"/>
        <v>N/A</v>
      </c>
      <c r="N21" s="66">
        <f>N136</f>
        <v>5623.43</v>
      </c>
    </row>
    <row r="22" spans="1:14" x14ac:dyDescent="0.2">
      <c r="A22" s="123"/>
      <c r="D22" s="129" t="str">
        <f>A138</f>
        <v>3.  Operating Expenses</v>
      </c>
      <c r="G22" s="64">
        <f t="shared" ref="G22:L22" si="4">G159</f>
        <v>162189.56</v>
      </c>
      <c r="H22" s="64">
        <f t="shared" si="4"/>
        <v>4675</v>
      </c>
      <c r="I22" s="64">
        <f t="shared" si="4"/>
        <v>157514.56</v>
      </c>
      <c r="J22" s="64">
        <f t="shared" si="4"/>
        <v>2436</v>
      </c>
      <c r="K22" s="64">
        <f t="shared" si="4"/>
        <v>1274.49</v>
      </c>
      <c r="L22" s="64">
        <f t="shared" si="4"/>
        <v>3710.49</v>
      </c>
      <c r="M22" s="12">
        <f t="shared" si="1"/>
        <v>0.79368770053475934</v>
      </c>
      <c r="N22" s="66">
        <f>N159</f>
        <v>161225.04999999999</v>
      </c>
    </row>
    <row r="23" spans="1:14" x14ac:dyDescent="0.2">
      <c r="A23" s="131" t="s">
        <v>40</v>
      </c>
      <c r="B23" s="132" t="s">
        <v>54</v>
      </c>
      <c r="D23" s="129" t="str">
        <f>A161</f>
        <v>4.  Direct Client Support</v>
      </c>
      <c r="G23" s="64">
        <f>G167</f>
        <v>720</v>
      </c>
      <c r="H23" s="64">
        <f t="shared" ref="H23:N23" si="5">H167</f>
        <v>0</v>
      </c>
      <c r="I23" s="64">
        <f t="shared" si="5"/>
        <v>720</v>
      </c>
      <c r="J23" s="64">
        <f t="shared" si="5"/>
        <v>0</v>
      </c>
      <c r="K23" s="64">
        <f t="shared" si="5"/>
        <v>0</v>
      </c>
      <c r="L23" s="64">
        <f t="shared" si="5"/>
        <v>0</v>
      </c>
      <c r="M23" s="12" t="str">
        <f t="shared" si="1"/>
        <v>N/A</v>
      </c>
      <c r="N23" s="66">
        <f t="shared" si="5"/>
        <v>720</v>
      </c>
    </row>
    <row r="24" spans="1:14" x14ac:dyDescent="0.2">
      <c r="A24" s="123"/>
      <c r="D24" s="129" t="str">
        <f>A169</f>
        <v>5.  Other</v>
      </c>
      <c r="G24" s="64">
        <f>G180</f>
        <v>80055.839999999997</v>
      </c>
      <c r="H24" s="64">
        <f t="shared" ref="H24:N24" si="6">H180</f>
        <v>0</v>
      </c>
      <c r="I24" s="64">
        <f t="shared" si="6"/>
        <v>80055.839999999997</v>
      </c>
      <c r="J24" s="64">
        <f t="shared" si="6"/>
        <v>0</v>
      </c>
      <c r="K24" s="64">
        <f t="shared" si="6"/>
        <v>0</v>
      </c>
      <c r="L24" s="64">
        <f t="shared" si="6"/>
        <v>0</v>
      </c>
      <c r="M24" s="12" t="str">
        <f t="shared" si="1"/>
        <v>N/A</v>
      </c>
      <c r="N24" s="66">
        <f t="shared" si="6"/>
        <v>80055.839999999997</v>
      </c>
    </row>
    <row r="25" spans="1:14" x14ac:dyDescent="0.2">
      <c r="A25" s="123"/>
      <c r="D25" s="129" t="str">
        <f>A182</f>
        <v>6.  Indirect Administrative Costs</v>
      </c>
      <c r="G25" s="64">
        <f>G189</f>
        <v>857813.21023463993</v>
      </c>
      <c r="H25" s="64">
        <f t="shared" ref="H25:L25" si="7">H189</f>
        <v>8458</v>
      </c>
      <c r="I25" s="64">
        <f t="shared" si="7"/>
        <v>849355.21023463993</v>
      </c>
      <c r="J25" s="64">
        <f t="shared" si="7"/>
        <v>4031</v>
      </c>
      <c r="K25" s="64">
        <f t="shared" si="7"/>
        <v>4366.3</v>
      </c>
      <c r="L25" s="64">
        <f t="shared" si="7"/>
        <v>8397.2999999999993</v>
      </c>
      <c r="M25" s="12">
        <f t="shared" si="1"/>
        <v>0.99282336249704417</v>
      </c>
      <c r="N25" s="66">
        <f>N189</f>
        <v>857752.51023463998</v>
      </c>
    </row>
    <row r="26" spans="1:14" x14ac:dyDescent="0.2">
      <c r="A26" s="123" t="s">
        <v>42</v>
      </c>
      <c r="B26" s="133">
        <f>127500+127500</f>
        <v>255000</v>
      </c>
      <c r="D26" s="134" t="str">
        <f>C191</f>
        <v>7.   TOTAL BUDGET</v>
      </c>
      <c r="E26" s="113"/>
      <c r="F26" s="113"/>
      <c r="G26" s="65">
        <f>G191</f>
        <v>7356398.1362546394</v>
      </c>
      <c r="H26" s="65">
        <f t="shared" ref="H26:L26" si="8">H191</f>
        <v>255000</v>
      </c>
      <c r="I26" s="65">
        <f t="shared" si="8"/>
        <v>7101398.1362546394</v>
      </c>
      <c r="J26" s="65">
        <f t="shared" si="8"/>
        <v>126143.48000000001</v>
      </c>
      <c r="K26" s="65">
        <f t="shared" si="8"/>
        <v>128856.56</v>
      </c>
      <c r="L26" s="65">
        <f t="shared" si="8"/>
        <v>255000.03999999998</v>
      </c>
      <c r="M26" s="13">
        <f t="shared" si="1"/>
        <v>1.000000156862745</v>
      </c>
      <c r="N26" s="67">
        <f>N191</f>
        <v>7356398.1762546403</v>
      </c>
    </row>
    <row r="27" spans="1:14" x14ac:dyDescent="0.2">
      <c r="A27" s="123" t="s">
        <v>43</v>
      </c>
      <c r="B27" s="76">
        <f>L26</f>
        <v>255000.03999999998</v>
      </c>
      <c r="M27" s="1"/>
      <c r="N27" s="121"/>
    </row>
    <row r="28" spans="1:14" x14ac:dyDescent="0.2">
      <c r="A28" s="123" t="s">
        <v>44</v>
      </c>
      <c r="B28" s="76">
        <f>B26-B27</f>
        <v>-3.9999999979045242E-2</v>
      </c>
      <c r="M28" s="1"/>
      <c r="N28" s="121"/>
    </row>
    <row r="29" spans="1:14" x14ac:dyDescent="0.2">
      <c r="A29" s="123"/>
      <c r="M29" s="1"/>
      <c r="N29" s="121"/>
    </row>
    <row r="30" spans="1:14" ht="15" customHeight="1" thickBot="1" x14ac:dyDescent="0.25">
      <c r="A30" s="135"/>
      <c r="B30" s="136"/>
      <c r="C30" s="136"/>
      <c r="D30" s="136"/>
      <c r="E30" s="136"/>
      <c r="F30" s="136"/>
      <c r="G30" s="136"/>
      <c r="H30" s="136"/>
      <c r="I30" s="136"/>
      <c r="J30" s="136"/>
      <c r="K30" s="136"/>
      <c r="L30" s="136"/>
      <c r="M30" s="9"/>
      <c r="N30" s="62"/>
    </row>
    <row r="31" spans="1:14" ht="15" x14ac:dyDescent="0.25">
      <c r="A31" s="137" t="s">
        <v>45</v>
      </c>
      <c r="B31" s="138"/>
      <c r="C31" s="138"/>
      <c r="D31" s="138"/>
      <c r="E31" s="138"/>
      <c r="F31" s="138"/>
      <c r="G31" s="138"/>
      <c r="H31" s="138"/>
      <c r="I31" s="138"/>
      <c r="J31" s="138"/>
      <c r="K31" s="138"/>
      <c r="L31" s="138"/>
      <c r="M31" s="138"/>
      <c r="N31" s="139"/>
    </row>
    <row r="32" spans="1:14" ht="14.25" x14ac:dyDescent="0.2">
      <c r="A32" s="140" t="s">
        <v>46</v>
      </c>
      <c r="B32" s="141"/>
      <c r="C32" s="141"/>
      <c r="D32" s="141"/>
      <c r="E32" s="141"/>
      <c r="F32" s="141"/>
      <c r="G32" s="141"/>
      <c r="H32" s="141"/>
      <c r="I32" s="141"/>
      <c r="J32" s="141"/>
      <c r="K32" s="141"/>
      <c r="L32" s="141"/>
      <c r="M32" s="141"/>
      <c r="N32" s="142"/>
    </row>
    <row r="33" spans="1:14" ht="15" thickBot="1" x14ac:dyDescent="0.25">
      <c r="A33" s="143" t="s">
        <v>47</v>
      </c>
      <c r="B33" s="144"/>
      <c r="C33" s="144"/>
      <c r="D33" s="144"/>
      <c r="E33" s="144"/>
      <c r="F33" s="144"/>
      <c r="G33" s="144"/>
      <c r="H33" s="144"/>
      <c r="I33" s="144"/>
      <c r="J33" s="144"/>
      <c r="K33" s="144"/>
      <c r="L33" s="144"/>
      <c r="M33" s="144"/>
      <c r="N33" s="145"/>
    </row>
    <row r="34" spans="1:14" x14ac:dyDescent="0.2">
      <c r="A34" s="123"/>
      <c r="M34" s="10"/>
      <c r="N34" s="92"/>
    </row>
    <row r="35" spans="1:14" x14ac:dyDescent="0.2">
      <c r="A35" s="146" t="s">
        <v>48</v>
      </c>
      <c r="D35" s="113" t="s">
        <v>49</v>
      </c>
      <c r="F35" s="31"/>
      <c r="G35" s="147">
        <v>45330</v>
      </c>
      <c r="M35" s="10"/>
      <c r="N35" s="92"/>
    </row>
    <row r="36" spans="1:14" x14ac:dyDescent="0.2">
      <c r="A36" s="146" t="s">
        <v>50</v>
      </c>
      <c r="D36" s="113" t="s">
        <v>49</v>
      </c>
      <c r="F36" s="31"/>
      <c r="G36" s="148"/>
      <c r="M36" s="10"/>
      <c r="N36" s="92"/>
    </row>
    <row r="37" spans="1:14" ht="13.5" thickBot="1" x14ac:dyDescent="0.25">
      <c r="A37" s="149"/>
      <c r="B37" s="136"/>
      <c r="C37" s="136"/>
      <c r="D37" s="136"/>
      <c r="E37" s="136"/>
      <c r="F37" s="150"/>
      <c r="G37" s="136"/>
      <c r="H37" s="136"/>
      <c r="I37" s="136"/>
      <c r="J37" s="136"/>
      <c r="K37" s="136"/>
      <c r="L37" s="136"/>
      <c r="M37" s="9"/>
      <c r="N37" s="62"/>
    </row>
    <row r="38" spans="1:14" ht="13.5" thickBot="1" x14ac:dyDescent="0.25">
      <c r="A38" s="149"/>
      <c r="B38" s="151"/>
      <c r="C38" s="136"/>
      <c r="D38" s="151"/>
      <c r="E38" s="151"/>
      <c r="F38" s="151"/>
      <c r="G38" s="136"/>
      <c r="H38" s="136"/>
      <c r="I38" s="136"/>
      <c r="J38" s="136"/>
      <c r="K38" s="136"/>
      <c r="L38" s="136"/>
      <c r="M38" s="136"/>
      <c r="N38" s="152"/>
    </row>
    <row r="39" spans="1:14" hidden="1" x14ac:dyDescent="0.2">
      <c r="A39" s="113"/>
      <c r="D39" s="113"/>
      <c r="E39" s="113"/>
      <c r="F39" s="113"/>
      <c r="G39" s="30"/>
      <c r="H39" s="30"/>
      <c r="I39" s="30"/>
      <c r="J39" s="30"/>
      <c r="K39" s="30"/>
      <c r="L39" s="30"/>
      <c r="M39" s="26"/>
      <c r="N39" s="30"/>
    </row>
    <row r="40" spans="1:14" hidden="1" x14ac:dyDescent="0.2">
      <c r="A40" s="124" t="s">
        <v>41</v>
      </c>
      <c r="B40" s="125"/>
      <c r="C40" s="125" t="s">
        <v>51</v>
      </c>
      <c r="D40" s="153"/>
      <c r="E40" s="153"/>
      <c r="F40" s="154"/>
      <c r="G40" s="154"/>
      <c r="H40" s="154"/>
      <c r="I40" s="95"/>
      <c r="J40" s="95"/>
      <c r="K40" s="94"/>
      <c r="L40" s="95"/>
      <c r="M40" s="95"/>
      <c r="N40" s="60"/>
    </row>
    <row r="41" spans="1:14" hidden="1" x14ac:dyDescent="0.2">
      <c r="A41" s="123" t="s">
        <v>52</v>
      </c>
      <c r="C41" s="1" t="s">
        <v>53</v>
      </c>
      <c r="D41" s="113"/>
      <c r="E41" s="113"/>
      <c r="H41" s="155"/>
      <c r="J41" s="30"/>
      <c r="K41" s="30"/>
      <c r="L41" s="30"/>
      <c r="M41" s="26"/>
      <c r="N41" s="61"/>
    </row>
    <row r="42" spans="1:14" ht="13.5" hidden="1" thickBot="1" x14ac:dyDescent="0.25">
      <c r="A42" s="135" t="s">
        <v>54</v>
      </c>
      <c r="B42" s="136"/>
      <c r="C42" s="136" t="s">
        <v>55</v>
      </c>
      <c r="D42" s="136"/>
      <c r="E42" s="136"/>
      <c r="F42" s="136"/>
      <c r="G42" s="136"/>
      <c r="H42" s="156"/>
      <c r="I42" s="136"/>
      <c r="J42" s="136"/>
      <c r="K42" s="136"/>
      <c r="L42" s="136"/>
      <c r="M42" s="9"/>
      <c r="N42" s="62"/>
    </row>
    <row r="43" spans="1:14" ht="15.75" thickBot="1" x14ac:dyDescent="0.3">
      <c r="A43" s="157" t="s">
        <v>56</v>
      </c>
      <c r="B43" s="144"/>
      <c r="C43" s="144"/>
      <c r="D43" s="144"/>
      <c r="E43" s="144"/>
      <c r="F43" s="144"/>
      <c r="G43" s="144"/>
      <c r="H43" s="144"/>
      <c r="I43" s="144"/>
      <c r="J43" s="144"/>
      <c r="K43" s="144"/>
      <c r="L43" s="144"/>
      <c r="M43" s="96"/>
      <c r="N43" s="145"/>
    </row>
    <row r="44" spans="1:14" ht="13.5" thickBot="1" x14ac:dyDescent="0.25"/>
    <row r="45" spans="1:14" x14ac:dyDescent="0.2">
      <c r="A45" s="158" t="s">
        <v>57</v>
      </c>
      <c r="B45" s="159"/>
      <c r="C45" s="159"/>
      <c r="D45" s="159"/>
      <c r="E45" s="159"/>
      <c r="F45" s="160"/>
      <c r="G45" s="161"/>
      <c r="H45" s="161"/>
      <c r="I45" s="161"/>
      <c r="J45" s="161"/>
      <c r="K45" s="161"/>
      <c r="L45" s="161"/>
      <c r="M45" s="4"/>
      <c r="N45" s="3"/>
    </row>
    <row r="46" spans="1:14" s="166" customFormat="1" ht="11.25" x14ac:dyDescent="0.2">
      <c r="A46" s="162" t="s">
        <v>58</v>
      </c>
      <c r="B46" s="163"/>
      <c r="C46" s="163"/>
      <c r="D46" s="163"/>
      <c r="E46" s="163"/>
      <c r="F46" s="164"/>
      <c r="G46" s="165"/>
      <c r="H46" s="165"/>
      <c r="I46" s="165"/>
      <c r="J46" s="165"/>
      <c r="K46" s="165"/>
      <c r="L46" s="165"/>
      <c r="M46" s="6"/>
      <c r="N46" s="5"/>
    </row>
    <row r="47" spans="1:14" s="166" customFormat="1" ht="33.75" x14ac:dyDescent="0.2">
      <c r="A47" s="167" t="s">
        <v>59</v>
      </c>
      <c r="B47" s="168" t="s">
        <v>60</v>
      </c>
      <c r="C47" s="169" t="s">
        <v>61</v>
      </c>
      <c r="D47" s="169" t="s">
        <v>62</v>
      </c>
      <c r="E47" s="169" t="s">
        <v>63</v>
      </c>
      <c r="G47" s="169" t="str">
        <f>G$18</f>
        <v>TOTAL
PROGRAM
BUDGET</v>
      </c>
      <c r="H47" s="169" t="str">
        <f t="shared" ref="H47:N47" si="9">H$18</f>
        <v>HSGP GRANT
BUDGET</v>
      </c>
      <c r="I47" s="169" t="str">
        <f t="shared" si="9"/>
        <v>NON-CITY PROGRAM BUDGET</v>
      </c>
      <c r="J47" s="169" t="str">
        <f t="shared" si="9"/>
        <v>HSGP
MID-YEAR EXPEND.</v>
      </c>
      <c r="K47" s="169" t="str">
        <f t="shared" si="9"/>
        <v>HSGP
YEAR-END EXPEND.</v>
      </c>
      <c r="L47" s="169" t="str">
        <f t="shared" si="9"/>
        <v>HSGP TOTAL EXPEND.</v>
      </c>
      <c r="M47" s="18" t="str">
        <f t="shared" si="9"/>
        <v>HSGP PERCENT EXPENDED</v>
      </c>
      <c r="N47" s="93" t="str">
        <f t="shared" si="9"/>
        <v>YEAR-END
 TOTAL PROGRAM EXPEND.</v>
      </c>
    </row>
    <row r="48" spans="1:14" hidden="1" outlineLevel="1" x14ac:dyDescent="0.2">
      <c r="A48" s="170" t="s">
        <v>65</v>
      </c>
      <c r="B48" s="171" t="s">
        <v>66</v>
      </c>
      <c r="C48" s="172" t="s">
        <v>51</v>
      </c>
      <c r="D48" s="173">
        <v>1</v>
      </c>
      <c r="E48" s="174">
        <v>9.9599999999999994E-2</v>
      </c>
      <c r="G48" s="99">
        <v>24444</v>
      </c>
      <c r="H48" s="99">
        <v>0</v>
      </c>
      <c r="I48" s="68">
        <f t="shared" ref="I48:I77" si="10">G48-H48</f>
        <v>24444</v>
      </c>
      <c r="J48" s="110">
        <v>0</v>
      </c>
      <c r="K48" s="110">
        <v>0</v>
      </c>
      <c r="L48" s="175">
        <f t="shared" ref="L48:L105" si="11">SUM(J48:K48)</f>
        <v>0</v>
      </c>
      <c r="M48" s="12" t="str">
        <f t="shared" ref="M48:M105" si="12">IFERROR(L48/H48,"N/A")</f>
        <v>N/A</v>
      </c>
      <c r="N48" s="176">
        <f t="shared" ref="N48:N107" si="13">I48+L48</f>
        <v>24444</v>
      </c>
    </row>
    <row r="49" spans="1:14" hidden="1" outlineLevel="1" x14ac:dyDescent="0.2">
      <c r="A49" s="170" t="s">
        <v>67</v>
      </c>
      <c r="B49" s="171" t="s">
        <v>68</v>
      </c>
      <c r="C49" s="172" t="s">
        <v>51</v>
      </c>
      <c r="D49" s="173">
        <v>1</v>
      </c>
      <c r="E49" s="174">
        <v>0.06</v>
      </c>
      <c r="G49" s="99">
        <v>12222</v>
      </c>
      <c r="H49" s="99">
        <v>0</v>
      </c>
      <c r="I49" s="68">
        <f t="shared" si="10"/>
        <v>12222</v>
      </c>
      <c r="J49" s="110">
        <v>0</v>
      </c>
      <c r="K49" s="110">
        <v>0</v>
      </c>
      <c r="L49" s="175">
        <f t="shared" si="11"/>
        <v>0</v>
      </c>
      <c r="M49" s="12" t="str">
        <f t="shared" si="12"/>
        <v>N/A</v>
      </c>
      <c r="N49" s="176">
        <f t="shared" si="13"/>
        <v>12222</v>
      </c>
    </row>
    <row r="50" spans="1:14" hidden="1" outlineLevel="1" x14ac:dyDescent="0.2">
      <c r="A50" s="170" t="s">
        <v>90</v>
      </c>
      <c r="B50" s="171" t="s">
        <v>91</v>
      </c>
      <c r="C50" s="172" t="s">
        <v>51</v>
      </c>
      <c r="D50" s="173">
        <v>1</v>
      </c>
      <c r="E50" s="174">
        <v>0.12</v>
      </c>
      <c r="G50" s="99">
        <v>24444</v>
      </c>
      <c r="H50" s="99">
        <v>0</v>
      </c>
      <c r="I50" s="68">
        <f t="shared" ref="I50:I58" si="14">G50-H50</f>
        <v>24444</v>
      </c>
      <c r="J50" s="110">
        <v>0</v>
      </c>
      <c r="K50" s="110">
        <v>0</v>
      </c>
      <c r="L50" s="175">
        <f>SUM(J50:K50)</f>
        <v>0</v>
      </c>
      <c r="M50" s="12" t="str">
        <f t="shared" ref="M50:M58" si="15">IFERROR(L50/H50,"N/A")</f>
        <v>N/A</v>
      </c>
      <c r="N50" s="176">
        <f>I50+L50</f>
        <v>24444</v>
      </c>
    </row>
    <row r="51" spans="1:14" hidden="1" outlineLevel="1" x14ac:dyDescent="0.2">
      <c r="A51" s="170" t="s">
        <v>92</v>
      </c>
      <c r="B51" s="171" t="s">
        <v>93</v>
      </c>
      <c r="C51" s="172" t="s">
        <v>51</v>
      </c>
      <c r="D51" s="173">
        <v>1</v>
      </c>
      <c r="E51" s="174">
        <v>0.12</v>
      </c>
      <c r="G51" s="99">
        <v>16604.64</v>
      </c>
      <c r="H51" s="99">
        <v>0</v>
      </c>
      <c r="I51" s="68">
        <f t="shared" si="14"/>
        <v>16604.64</v>
      </c>
      <c r="J51" s="110">
        <v>0</v>
      </c>
      <c r="K51" s="110">
        <v>0</v>
      </c>
      <c r="L51" s="175">
        <f>SUM(J51:K51)</f>
        <v>0</v>
      </c>
      <c r="M51" s="12" t="str">
        <f t="shared" si="15"/>
        <v>N/A</v>
      </c>
      <c r="N51" s="176">
        <f>I51+L51</f>
        <v>16604.64</v>
      </c>
    </row>
    <row r="52" spans="1:14" hidden="1" outlineLevel="1" x14ac:dyDescent="0.2">
      <c r="A52" s="170" t="s">
        <v>102</v>
      </c>
      <c r="B52" s="171" t="s">
        <v>103</v>
      </c>
      <c r="C52" s="172" t="s">
        <v>51</v>
      </c>
      <c r="D52" s="173">
        <v>1</v>
      </c>
      <c r="E52" s="174">
        <v>8.2799999999999985E-2</v>
      </c>
      <c r="G52" s="99">
        <v>24444</v>
      </c>
      <c r="H52" s="99">
        <v>0</v>
      </c>
      <c r="I52" s="68">
        <f t="shared" si="14"/>
        <v>24444</v>
      </c>
      <c r="J52" s="110">
        <v>0</v>
      </c>
      <c r="K52" s="110">
        <v>0</v>
      </c>
      <c r="L52" s="175">
        <f>SUM(J52:K52)</f>
        <v>0</v>
      </c>
      <c r="M52" s="12" t="str">
        <f t="shared" si="15"/>
        <v>N/A</v>
      </c>
      <c r="N52" s="176">
        <f>I52+L52</f>
        <v>24444</v>
      </c>
    </row>
    <row r="53" spans="1:14" hidden="1" outlineLevel="1" x14ac:dyDescent="0.2">
      <c r="A53" s="170" t="s">
        <v>116</v>
      </c>
      <c r="B53" s="171" t="s">
        <v>117</v>
      </c>
      <c r="C53" s="172" t="s">
        <v>51</v>
      </c>
      <c r="D53" s="173">
        <v>1</v>
      </c>
      <c r="E53" s="174">
        <v>0.12</v>
      </c>
      <c r="G53" s="99">
        <v>19291.68</v>
      </c>
      <c r="H53" s="99">
        <v>0</v>
      </c>
      <c r="I53" s="68">
        <f t="shared" si="14"/>
        <v>19291.68</v>
      </c>
      <c r="J53" s="110">
        <v>0</v>
      </c>
      <c r="K53" s="110">
        <v>0</v>
      </c>
      <c r="L53" s="175">
        <f>SUM(J53:K53)</f>
        <v>0</v>
      </c>
      <c r="M53" s="12" t="str">
        <f t="shared" si="15"/>
        <v>N/A</v>
      </c>
      <c r="N53" s="176">
        <f>I53+L53</f>
        <v>19291.68</v>
      </c>
    </row>
    <row r="54" spans="1:14" hidden="1" outlineLevel="1" x14ac:dyDescent="0.2">
      <c r="A54" s="170" t="s">
        <v>122</v>
      </c>
      <c r="B54" s="171" t="s">
        <v>123</v>
      </c>
      <c r="C54" s="172" t="s">
        <v>51</v>
      </c>
      <c r="D54" s="173">
        <v>1</v>
      </c>
      <c r="E54" s="174">
        <v>9.0835877192074102E-2</v>
      </c>
      <c r="G54" s="99">
        <v>110088.65999999999</v>
      </c>
      <c r="H54" s="99">
        <v>8500</v>
      </c>
      <c r="I54" s="68">
        <f t="shared" si="14"/>
        <v>101588.65999999999</v>
      </c>
      <c r="J54" s="110">
        <v>4248</v>
      </c>
      <c r="K54" s="110">
        <v>4030.14</v>
      </c>
      <c r="L54" s="175">
        <f>SUM(J54:K54)</f>
        <v>8278.14</v>
      </c>
      <c r="M54" s="12">
        <f t="shared" si="15"/>
        <v>0.97389882352941171</v>
      </c>
      <c r="N54" s="176">
        <f>I54+L54</f>
        <v>109866.79999999999</v>
      </c>
    </row>
    <row r="55" spans="1:14" collapsed="1" x14ac:dyDescent="0.2">
      <c r="A55" s="170"/>
      <c r="B55" s="171"/>
      <c r="C55" s="172" t="s">
        <v>51</v>
      </c>
      <c r="D55" s="173">
        <f>SUM(D48:D54)</f>
        <v>7</v>
      </c>
      <c r="E55" s="174"/>
      <c r="G55" s="99">
        <f>SUM(G48:G54)</f>
        <v>231538.97999999998</v>
      </c>
      <c r="H55" s="99">
        <f t="shared" ref="H55:K55" si="16">SUM(H48:H54)</f>
        <v>8500</v>
      </c>
      <c r="I55" s="111">
        <f t="shared" si="14"/>
        <v>223038.97999999998</v>
      </c>
      <c r="J55" s="110">
        <f t="shared" si="16"/>
        <v>4248</v>
      </c>
      <c r="K55" s="110">
        <f t="shared" si="16"/>
        <v>4030.14</v>
      </c>
      <c r="L55" s="111">
        <f>SUM(K55+J55)</f>
        <v>8278.14</v>
      </c>
      <c r="M55" s="12">
        <f t="shared" si="15"/>
        <v>0.97389882352941171</v>
      </c>
      <c r="N55" s="176">
        <f>SUM(L55,I55)</f>
        <v>231317.12</v>
      </c>
    </row>
    <row r="56" spans="1:14" ht="13.5" hidden="1" customHeight="1" outlineLevel="1" x14ac:dyDescent="0.2">
      <c r="A56" s="170" t="s">
        <v>114</v>
      </c>
      <c r="B56" s="171" t="s">
        <v>115</v>
      </c>
      <c r="C56" s="172" t="s">
        <v>53</v>
      </c>
      <c r="D56" s="173">
        <v>1</v>
      </c>
      <c r="E56" s="174">
        <v>9.2399999999999996E-2</v>
      </c>
      <c r="G56" s="99">
        <v>9688.32</v>
      </c>
      <c r="H56" s="99">
        <v>0</v>
      </c>
      <c r="I56" s="68">
        <f t="shared" si="14"/>
        <v>9688.32</v>
      </c>
      <c r="J56" s="110">
        <v>0</v>
      </c>
      <c r="K56" s="110">
        <v>0</v>
      </c>
      <c r="L56" s="175">
        <f>SUM(J56:K56)</f>
        <v>0</v>
      </c>
      <c r="M56" s="12" t="str">
        <f t="shared" si="15"/>
        <v>N/A</v>
      </c>
      <c r="N56" s="176">
        <f>I56+L56</f>
        <v>9688.32</v>
      </c>
    </row>
    <row r="57" spans="1:14" hidden="1" outlineLevel="1" x14ac:dyDescent="0.2">
      <c r="A57" s="170" t="s">
        <v>101</v>
      </c>
      <c r="B57" s="171" t="s">
        <v>101</v>
      </c>
      <c r="C57" s="172" t="s">
        <v>53</v>
      </c>
      <c r="D57" s="173">
        <v>8</v>
      </c>
      <c r="E57" s="174">
        <v>0.12</v>
      </c>
      <c r="G57" s="99">
        <v>73506.239999999991</v>
      </c>
      <c r="H57" s="99">
        <v>0</v>
      </c>
      <c r="I57" s="68">
        <f t="shared" si="14"/>
        <v>73506.239999999991</v>
      </c>
      <c r="J57" s="110">
        <v>0</v>
      </c>
      <c r="K57" s="110">
        <v>0</v>
      </c>
      <c r="L57" s="175">
        <f>SUM(J57:K57)</f>
        <v>0</v>
      </c>
      <c r="M57" s="12" t="str">
        <f t="shared" si="15"/>
        <v>N/A</v>
      </c>
      <c r="N57" s="176">
        <f>I57+L57</f>
        <v>73506.239999999991</v>
      </c>
    </row>
    <row r="58" spans="1:14" hidden="1" outlineLevel="1" x14ac:dyDescent="0.2">
      <c r="A58" s="170" t="s">
        <v>94</v>
      </c>
      <c r="B58" s="171" t="s">
        <v>95</v>
      </c>
      <c r="C58" s="172" t="s">
        <v>53</v>
      </c>
      <c r="D58" s="173">
        <v>1</v>
      </c>
      <c r="E58" s="174">
        <v>0.1</v>
      </c>
      <c r="G58" s="99">
        <v>8899.1999999999989</v>
      </c>
      <c r="H58" s="99">
        <v>6304</v>
      </c>
      <c r="I58" s="68">
        <f t="shared" si="14"/>
        <v>2595.1999999999989</v>
      </c>
      <c r="J58" s="110">
        <v>3666.57</v>
      </c>
      <c r="K58" s="110">
        <v>3320.64</v>
      </c>
      <c r="L58" s="175">
        <f>SUM(J58:K58)</f>
        <v>6987.21</v>
      </c>
      <c r="M58" s="12">
        <f t="shared" si="15"/>
        <v>1.1083772208121827</v>
      </c>
      <c r="N58" s="176">
        <f>I58+L58</f>
        <v>9582.41</v>
      </c>
    </row>
    <row r="59" spans="1:14" hidden="1" outlineLevel="1" x14ac:dyDescent="0.2">
      <c r="A59" s="170" t="s">
        <v>71</v>
      </c>
      <c r="B59" s="171" t="s">
        <v>71</v>
      </c>
      <c r="C59" s="172" t="s">
        <v>53</v>
      </c>
      <c r="D59" s="173">
        <v>7</v>
      </c>
      <c r="E59" s="174">
        <v>0.12</v>
      </c>
      <c r="G59" s="99">
        <v>53164.799999999996</v>
      </c>
      <c r="H59" s="99">
        <v>0</v>
      </c>
      <c r="I59" s="68">
        <f t="shared" si="10"/>
        <v>53164.799999999996</v>
      </c>
      <c r="J59" s="110">
        <v>0</v>
      </c>
      <c r="K59" s="110">
        <v>0</v>
      </c>
      <c r="L59" s="175">
        <f t="shared" si="11"/>
        <v>0</v>
      </c>
      <c r="M59" s="12" t="str">
        <f t="shared" si="12"/>
        <v>N/A</v>
      </c>
      <c r="N59" s="176">
        <f t="shared" si="13"/>
        <v>53164.799999999996</v>
      </c>
    </row>
    <row r="60" spans="1:14" hidden="1" outlineLevel="1" x14ac:dyDescent="0.2">
      <c r="A60" s="170" t="s">
        <v>72</v>
      </c>
      <c r="B60" s="171" t="s">
        <v>73</v>
      </c>
      <c r="C60" s="172" t="s">
        <v>53</v>
      </c>
      <c r="D60" s="173">
        <v>1</v>
      </c>
      <c r="E60" s="174">
        <v>0.06</v>
      </c>
      <c r="G60" s="99">
        <v>9817.3007999999991</v>
      </c>
      <c r="H60" s="99">
        <v>4173</v>
      </c>
      <c r="I60" s="68">
        <f t="shared" si="10"/>
        <v>5644.3007999999991</v>
      </c>
      <c r="J60" s="110">
        <v>2088</v>
      </c>
      <c r="K60" s="110">
        <v>2354.16</v>
      </c>
      <c r="L60" s="175">
        <f t="shared" si="11"/>
        <v>4442.16</v>
      </c>
      <c r="M60" s="12">
        <f t="shared" si="12"/>
        <v>1.0645003594536304</v>
      </c>
      <c r="N60" s="176">
        <f t="shared" si="13"/>
        <v>10086.460799999999</v>
      </c>
    </row>
    <row r="61" spans="1:14" hidden="1" outlineLevel="1" x14ac:dyDescent="0.2">
      <c r="A61" s="170" t="s">
        <v>64</v>
      </c>
      <c r="B61" s="171" t="s">
        <v>64</v>
      </c>
      <c r="C61" s="172" t="s">
        <v>53</v>
      </c>
      <c r="D61" s="173">
        <v>18</v>
      </c>
      <c r="E61" s="174">
        <v>0.12</v>
      </c>
      <c r="G61" s="99">
        <v>185899.68</v>
      </c>
      <c r="H61" s="99">
        <v>0</v>
      </c>
      <c r="I61" s="64">
        <f t="shared" ref="I61:I70" si="17">G61-H61</f>
        <v>185899.68</v>
      </c>
      <c r="J61" s="110">
        <v>0</v>
      </c>
      <c r="K61" s="110">
        <v>0</v>
      </c>
      <c r="L61" s="175">
        <f t="shared" ref="L61:L68" si="18">SUM(J61:K61)</f>
        <v>0</v>
      </c>
      <c r="M61" s="12" t="str">
        <f t="shared" ref="M61:M70" si="19">IFERROR(L61/H61,"N/A")</f>
        <v>N/A</v>
      </c>
      <c r="N61" s="176">
        <f t="shared" ref="N61:N68" si="20">I61+L61</f>
        <v>185899.68</v>
      </c>
    </row>
    <row r="62" spans="1:14" hidden="1" outlineLevel="1" x14ac:dyDescent="0.2">
      <c r="A62" s="170" t="s">
        <v>78</v>
      </c>
      <c r="B62" s="171" t="s">
        <v>78</v>
      </c>
      <c r="C62" s="172" t="s">
        <v>53</v>
      </c>
      <c r="D62" s="173">
        <v>2</v>
      </c>
      <c r="E62" s="174">
        <v>0.12</v>
      </c>
      <c r="G62" s="99">
        <v>16883.52</v>
      </c>
      <c r="H62" s="99">
        <v>0</v>
      </c>
      <c r="I62" s="68">
        <f t="shared" si="17"/>
        <v>16883.52</v>
      </c>
      <c r="J62" s="110">
        <v>0</v>
      </c>
      <c r="K62" s="110">
        <v>0</v>
      </c>
      <c r="L62" s="175">
        <f t="shared" si="18"/>
        <v>0</v>
      </c>
      <c r="M62" s="12" t="str">
        <f t="shared" si="19"/>
        <v>N/A</v>
      </c>
      <c r="N62" s="176">
        <f t="shared" si="20"/>
        <v>16883.52</v>
      </c>
    </row>
    <row r="63" spans="1:14" hidden="1" outlineLevel="1" x14ac:dyDescent="0.2">
      <c r="A63" s="170" t="s">
        <v>80</v>
      </c>
      <c r="B63" s="171" t="s">
        <v>80</v>
      </c>
      <c r="C63" s="172" t="s">
        <v>53</v>
      </c>
      <c r="D63" s="173">
        <v>12</v>
      </c>
      <c r="E63" s="174">
        <v>0.12</v>
      </c>
      <c r="G63" s="99">
        <v>51775.199999999997</v>
      </c>
      <c r="H63" s="99">
        <v>0</v>
      </c>
      <c r="I63" s="68">
        <f t="shared" si="17"/>
        <v>51775.199999999997</v>
      </c>
      <c r="J63" s="110">
        <v>0</v>
      </c>
      <c r="K63" s="110">
        <v>0</v>
      </c>
      <c r="L63" s="175">
        <f t="shared" si="18"/>
        <v>0</v>
      </c>
      <c r="M63" s="12" t="str">
        <f t="shared" si="19"/>
        <v>N/A</v>
      </c>
      <c r="N63" s="176">
        <f t="shared" si="20"/>
        <v>51775.199999999997</v>
      </c>
    </row>
    <row r="64" spans="1:14" hidden="1" outlineLevel="1" x14ac:dyDescent="0.2">
      <c r="A64" s="170" t="s">
        <v>81</v>
      </c>
      <c r="B64" s="171" t="s">
        <v>82</v>
      </c>
      <c r="C64" s="172" t="s">
        <v>53</v>
      </c>
      <c r="D64" s="173">
        <v>11</v>
      </c>
      <c r="E64" s="174">
        <v>0.12</v>
      </c>
      <c r="G64" s="99">
        <v>80542.080000000002</v>
      </c>
      <c r="H64" s="99">
        <v>0</v>
      </c>
      <c r="I64" s="68">
        <f t="shared" si="17"/>
        <v>80542.080000000002</v>
      </c>
      <c r="J64" s="110">
        <v>0</v>
      </c>
      <c r="K64" s="110">
        <v>0</v>
      </c>
      <c r="L64" s="175">
        <f t="shared" si="18"/>
        <v>0</v>
      </c>
      <c r="M64" s="12" t="str">
        <f t="shared" si="19"/>
        <v>N/A</v>
      </c>
      <c r="N64" s="176">
        <f t="shared" si="20"/>
        <v>80542.080000000002</v>
      </c>
    </row>
    <row r="65" spans="1:14" hidden="1" outlineLevel="1" x14ac:dyDescent="0.2">
      <c r="A65" s="170" t="s">
        <v>83</v>
      </c>
      <c r="B65" s="171" t="s">
        <v>84</v>
      </c>
      <c r="C65" s="172" t="s">
        <v>53</v>
      </c>
      <c r="D65" s="173">
        <v>1</v>
      </c>
      <c r="E65" s="174">
        <v>0.12</v>
      </c>
      <c r="G65" s="99">
        <v>10980</v>
      </c>
      <c r="H65" s="99">
        <v>0</v>
      </c>
      <c r="I65" s="68">
        <f t="shared" si="17"/>
        <v>10980</v>
      </c>
      <c r="J65" s="110">
        <v>0</v>
      </c>
      <c r="K65" s="110">
        <v>0</v>
      </c>
      <c r="L65" s="175">
        <f t="shared" si="18"/>
        <v>0</v>
      </c>
      <c r="M65" s="12" t="str">
        <f t="shared" si="19"/>
        <v>N/A</v>
      </c>
      <c r="N65" s="176">
        <f t="shared" si="20"/>
        <v>10980</v>
      </c>
    </row>
    <row r="66" spans="1:14" hidden="1" outlineLevel="1" x14ac:dyDescent="0.2">
      <c r="A66" s="170" t="s">
        <v>112</v>
      </c>
      <c r="B66" s="171" t="s">
        <v>112</v>
      </c>
      <c r="C66" s="172" t="s">
        <v>53</v>
      </c>
      <c r="D66" s="173">
        <v>5</v>
      </c>
      <c r="E66" s="174">
        <v>0.12</v>
      </c>
      <c r="G66" s="99">
        <v>32348.16</v>
      </c>
      <c r="H66" s="99">
        <v>0</v>
      </c>
      <c r="I66" s="68">
        <f t="shared" si="17"/>
        <v>32348.16</v>
      </c>
      <c r="J66" s="110">
        <v>0</v>
      </c>
      <c r="K66" s="110">
        <v>0</v>
      </c>
      <c r="L66" s="175">
        <f t="shared" si="18"/>
        <v>0</v>
      </c>
      <c r="M66" s="12" t="str">
        <f t="shared" si="19"/>
        <v>N/A</v>
      </c>
      <c r="N66" s="176">
        <f t="shared" si="20"/>
        <v>32348.16</v>
      </c>
    </row>
    <row r="67" spans="1:14" hidden="1" outlineLevel="1" x14ac:dyDescent="0.2">
      <c r="A67" s="170" t="s">
        <v>87</v>
      </c>
      <c r="B67" s="171" t="s">
        <v>87</v>
      </c>
      <c r="C67" s="172" t="s">
        <v>53</v>
      </c>
      <c r="D67" s="173">
        <v>8</v>
      </c>
      <c r="E67" s="174">
        <v>0.12</v>
      </c>
      <c r="G67" s="99">
        <v>96716.160000000003</v>
      </c>
      <c r="H67" s="99">
        <v>0</v>
      </c>
      <c r="I67" s="68">
        <f t="shared" si="17"/>
        <v>96716.160000000003</v>
      </c>
      <c r="J67" s="110">
        <v>0</v>
      </c>
      <c r="K67" s="110">
        <v>0</v>
      </c>
      <c r="L67" s="175">
        <f t="shared" si="18"/>
        <v>0</v>
      </c>
      <c r="M67" s="12" t="str">
        <f t="shared" si="19"/>
        <v>N/A</v>
      </c>
      <c r="N67" s="176">
        <f t="shared" si="20"/>
        <v>96716.160000000003</v>
      </c>
    </row>
    <row r="68" spans="1:14" hidden="1" outlineLevel="1" x14ac:dyDescent="0.2">
      <c r="A68" s="170" t="s">
        <v>147</v>
      </c>
      <c r="B68" s="171" t="s">
        <v>148</v>
      </c>
      <c r="C68" s="172" t="s">
        <v>53</v>
      </c>
      <c r="D68" s="173">
        <v>1</v>
      </c>
      <c r="E68" s="174">
        <v>0.26460727969348657</v>
      </c>
      <c r="G68" s="99">
        <v>50112</v>
      </c>
      <c r="H68" s="99">
        <v>11271</v>
      </c>
      <c r="I68" s="68">
        <f t="shared" si="17"/>
        <v>38841</v>
      </c>
      <c r="J68" s="110">
        <v>6998.03</v>
      </c>
      <c r="K68" s="110">
        <v>4676.59</v>
      </c>
      <c r="L68" s="175">
        <f t="shared" si="18"/>
        <v>11674.619999999999</v>
      </c>
      <c r="M68" s="12">
        <f t="shared" si="19"/>
        <v>1.0358104870907638</v>
      </c>
      <c r="N68" s="176">
        <f t="shared" si="20"/>
        <v>50515.619999999995</v>
      </c>
    </row>
    <row r="69" spans="1:14" collapsed="1" x14ac:dyDescent="0.2">
      <c r="A69" s="170"/>
      <c r="B69" s="171"/>
      <c r="C69" s="172" t="s">
        <v>53</v>
      </c>
      <c r="D69" s="173">
        <f>SUM(D56:D68)</f>
        <v>76</v>
      </c>
      <c r="E69" s="174"/>
      <c r="G69" s="99">
        <f>SUM(G56:G68)</f>
        <v>680332.66080000007</v>
      </c>
      <c r="H69" s="99">
        <f>SUM(H56:H68)</f>
        <v>21748</v>
      </c>
      <c r="I69" s="68">
        <f t="shared" si="17"/>
        <v>658584.66080000007</v>
      </c>
      <c r="J69" s="110">
        <f>SUM(J56:J68)</f>
        <v>12752.599999999999</v>
      </c>
      <c r="K69" s="110">
        <f>SUM(K56:K68)</f>
        <v>10351.39</v>
      </c>
      <c r="L69" s="175">
        <f>SUM(K69+J69)</f>
        <v>23103.989999999998</v>
      </c>
      <c r="M69" s="12">
        <f t="shared" si="19"/>
        <v>1.0623501011587271</v>
      </c>
      <c r="N69" s="176">
        <f>SUM(L69,I69)</f>
        <v>681688.65080000006</v>
      </c>
    </row>
    <row r="70" spans="1:14" hidden="1" outlineLevel="1" x14ac:dyDescent="0.2">
      <c r="A70" s="170" t="s">
        <v>69</v>
      </c>
      <c r="B70" s="171" t="s">
        <v>70</v>
      </c>
      <c r="C70" s="172" t="s">
        <v>55</v>
      </c>
      <c r="D70" s="173">
        <v>1</v>
      </c>
      <c r="E70" s="174">
        <v>0.12969047362562389</v>
      </c>
      <c r="G70" s="99">
        <v>14447</v>
      </c>
      <c r="H70" s="99">
        <v>12280</v>
      </c>
      <c r="I70" s="68">
        <f t="shared" si="17"/>
        <v>2167</v>
      </c>
      <c r="J70" s="110">
        <v>6138</v>
      </c>
      <c r="K70" s="110">
        <v>7197.94</v>
      </c>
      <c r="L70" s="175">
        <f>SUM(J70:K70)</f>
        <v>13335.939999999999</v>
      </c>
      <c r="M70" s="12">
        <f t="shared" si="19"/>
        <v>1.0859885993485341</v>
      </c>
      <c r="N70" s="176">
        <f>I70+L70</f>
        <v>15502.939999999999</v>
      </c>
    </row>
    <row r="71" spans="1:14" hidden="1" outlineLevel="1" x14ac:dyDescent="0.2">
      <c r="A71" s="170" t="s">
        <v>74</v>
      </c>
      <c r="B71" s="171" t="s">
        <v>74</v>
      </c>
      <c r="C71" s="172" t="s">
        <v>55</v>
      </c>
      <c r="D71" s="173">
        <v>17</v>
      </c>
      <c r="E71" s="174">
        <v>0.12</v>
      </c>
      <c r="G71" s="99">
        <v>100725.12</v>
      </c>
      <c r="H71" s="99">
        <v>0</v>
      </c>
      <c r="I71" s="68">
        <f t="shared" si="10"/>
        <v>100725.12</v>
      </c>
      <c r="J71" s="110">
        <v>0</v>
      </c>
      <c r="K71" s="110">
        <v>0</v>
      </c>
      <c r="L71" s="175">
        <f t="shared" si="11"/>
        <v>0</v>
      </c>
      <c r="M71" s="12" t="str">
        <f t="shared" si="12"/>
        <v>N/A</v>
      </c>
      <c r="N71" s="176">
        <f t="shared" si="13"/>
        <v>100725.12</v>
      </c>
    </row>
    <row r="72" spans="1:14" hidden="1" outlineLevel="1" x14ac:dyDescent="0.2">
      <c r="A72" s="170" t="s">
        <v>75</v>
      </c>
      <c r="B72" s="171" t="s">
        <v>75</v>
      </c>
      <c r="C72" s="172" t="s">
        <v>55</v>
      </c>
      <c r="D72" s="173">
        <v>15</v>
      </c>
      <c r="E72" s="174">
        <v>0.12</v>
      </c>
      <c r="G72" s="99">
        <v>96645.599999999991</v>
      </c>
      <c r="H72" s="99">
        <v>0</v>
      </c>
      <c r="I72" s="68">
        <f t="shared" si="10"/>
        <v>96645.599999999991</v>
      </c>
      <c r="J72" s="110">
        <v>0</v>
      </c>
      <c r="K72" s="110">
        <v>0</v>
      </c>
      <c r="L72" s="175">
        <f t="shared" si="11"/>
        <v>0</v>
      </c>
      <c r="M72" s="12" t="str">
        <f t="shared" si="12"/>
        <v>N/A</v>
      </c>
      <c r="N72" s="176">
        <f t="shared" si="13"/>
        <v>96645.599999999991</v>
      </c>
    </row>
    <row r="73" spans="1:14" hidden="1" outlineLevel="1" x14ac:dyDescent="0.2">
      <c r="A73" s="170" t="s">
        <v>76</v>
      </c>
      <c r="B73" s="171" t="s">
        <v>76</v>
      </c>
      <c r="C73" s="172" t="s">
        <v>55</v>
      </c>
      <c r="D73" s="173">
        <v>1</v>
      </c>
      <c r="E73" s="174">
        <v>0.12</v>
      </c>
      <c r="G73" s="99">
        <v>6288.48</v>
      </c>
      <c r="H73" s="99">
        <v>0</v>
      </c>
      <c r="I73" s="68">
        <f t="shared" si="10"/>
        <v>6288.48</v>
      </c>
      <c r="J73" s="110">
        <v>0</v>
      </c>
      <c r="K73" s="110">
        <v>0</v>
      </c>
      <c r="L73" s="175">
        <f t="shared" si="11"/>
        <v>0</v>
      </c>
      <c r="M73" s="12" t="str">
        <f t="shared" si="12"/>
        <v>N/A</v>
      </c>
      <c r="N73" s="176">
        <f t="shared" si="13"/>
        <v>6288.48</v>
      </c>
    </row>
    <row r="74" spans="1:14" hidden="1" outlineLevel="1" x14ac:dyDescent="0.2">
      <c r="A74" s="170" t="s">
        <v>77</v>
      </c>
      <c r="B74" s="171" t="s">
        <v>77</v>
      </c>
      <c r="C74" s="172" t="s">
        <v>55</v>
      </c>
      <c r="D74" s="173">
        <v>6</v>
      </c>
      <c r="E74" s="174">
        <v>0.12</v>
      </c>
      <c r="G74" s="99">
        <v>129797.28</v>
      </c>
      <c r="H74" s="99">
        <v>0</v>
      </c>
      <c r="I74" s="68">
        <f t="shared" si="10"/>
        <v>129797.28</v>
      </c>
      <c r="J74" s="110">
        <v>0</v>
      </c>
      <c r="K74" s="110">
        <v>0</v>
      </c>
      <c r="L74" s="175">
        <f t="shared" si="11"/>
        <v>0</v>
      </c>
      <c r="M74" s="12" t="str">
        <f t="shared" si="12"/>
        <v>N/A</v>
      </c>
      <c r="N74" s="176">
        <f t="shared" si="13"/>
        <v>129797.28</v>
      </c>
    </row>
    <row r="75" spans="1:14" hidden="1" outlineLevel="1" x14ac:dyDescent="0.2">
      <c r="A75" s="170" t="s">
        <v>79</v>
      </c>
      <c r="B75" s="171" t="s">
        <v>79</v>
      </c>
      <c r="C75" s="172" t="s">
        <v>55</v>
      </c>
      <c r="D75" s="173">
        <v>31</v>
      </c>
      <c r="E75" s="174">
        <v>0.12</v>
      </c>
      <c r="G75" s="99">
        <v>209223.36</v>
      </c>
      <c r="H75" s="99">
        <v>0</v>
      </c>
      <c r="I75" s="68">
        <f t="shared" si="10"/>
        <v>209223.36</v>
      </c>
      <c r="J75" s="110">
        <v>0</v>
      </c>
      <c r="K75" s="110">
        <v>0</v>
      </c>
      <c r="L75" s="175">
        <f t="shared" si="11"/>
        <v>0</v>
      </c>
      <c r="M75" s="12" t="str">
        <f t="shared" si="12"/>
        <v>N/A</v>
      </c>
      <c r="N75" s="176">
        <f t="shared" si="13"/>
        <v>209223.36</v>
      </c>
    </row>
    <row r="76" spans="1:14" hidden="1" outlineLevel="1" x14ac:dyDescent="0.2">
      <c r="A76" s="170" t="s">
        <v>85</v>
      </c>
      <c r="B76" s="171" t="s">
        <v>86</v>
      </c>
      <c r="C76" s="172" t="s">
        <v>55</v>
      </c>
      <c r="D76" s="173">
        <v>1</v>
      </c>
      <c r="E76" s="174">
        <v>0.25482485378149888</v>
      </c>
      <c r="G76" s="99">
        <v>15000</v>
      </c>
      <c r="H76" s="99">
        <v>12750</v>
      </c>
      <c r="I76" s="68">
        <f t="shared" si="10"/>
        <v>2250</v>
      </c>
      <c r="J76" s="110">
        <v>6574.62</v>
      </c>
      <c r="K76" s="110">
        <v>6557.37</v>
      </c>
      <c r="L76" s="175">
        <f>SUM(J76:K76)</f>
        <v>13131.99</v>
      </c>
      <c r="M76" s="12">
        <f t="shared" si="12"/>
        <v>1.02996</v>
      </c>
      <c r="N76" s="176">
        <f t="shared" si="13"/>
        <v>15381.99</v>
      </c>
    </row>
    <row r="77" spans="1:14" hidden="1" outlineLevel="1" x14ac:dyDescent="0.2">
      <c r="A77" s="170" t="s">
        <v>88</v>
      </c>
      <c r="B77" s="171" t="s">
        <v>89</v>
      </c>
      <c r="C77" s="172" t="s">
        <v>55</v>
      </c>
      <c r="D77" s="173">
        <v>1</v>
      </c>
      <c r="E77" s="174">
        <v>0.27668102416846135</v>
      </c>
      <c r="G77" s="99">
        <v>18500</v>
      </c>
      <c r="H77" s="99">
        <v>15725</v>
      </c>
      <c r="I77" s="68">
        <f t="shared" si="10"/>
        <v>2775</v>
      </c>
      <c r="J77" s="110">
        <v>8022.12</v>
      </c>
      <c r="K77" s="110">
        <v>7986.17</v>
      </c>
      <c r="L77" s="175">
        <f>SUM(J77:K77)</f>
        <v>16008.29</v>
      </c>
      <c r="M77" s="12">
        <f t="shared" si="12"/>
        <v>1.0180152623211447</v>
      </c>
      <c r="N77" s="176">
        <f t="shared" si="13"/>
        <v>18783.29</v>
      </c>
    </row>
    <row r="78" spans="1:14" hidden="1" outlineLevel="1" x14ac:dyDescent="0.2">
      <c r="A78" s="170" t="s">
        <v>96</v>
      </c>
      <c r="B78" s="171" t="s">
        <v>97</v>
      </c>
      <c r="C78" s="172" t="s">
        <v>55</v>
      </c>
      <c r="D78" s="173">
        <v>1</v>
      </c>
      <c r="E78" s="174">
        <v>0.12</v>
      </c>
      <c r="G78" s="99">
        <v>23760</v>
      </c>
      <c r="H78" s="99">
        <v>8500</v>
      </c>
      <c r="I78" s="68">
        <f t="shared" ref="I78:I91" si="21">G78-H78</f>
        <v>15260</v>
      </c>
      <c r="J78" s="110">
        <v>4247.9799999999996</v>
      </c>
      <c r="K78" s="110">
        <v>7066.62</v>
      </c>
      <c r="L78" s="175">
        <f t="shared" ref="L78:L91" si="22">SUM(J78:K78)</f>
        <v>11314.599999999999</v>
      </c>
      <c r="M78" s="12">
        <f t="shared" ref="M78:M91" si="23">IFERROR(L78/H78,"N/A")</f>
        <v>1.3311294117647057</v>
      </c>
      <c r="N78" s="176">
        <f t="shared" si="13"/>
        <v>26574.6</v>
      </c>
    </row>
    <row r="79" spans="1:14" hidden="1" outlineLevel="1" x14ac:dyDescent="0.2">
      <c r="A79" s="170" t="s">
        <v>98</v>
      </c>
      <c r="B79" s="171" t="s">
        <v>98</v>
      </c>
      <c r="C79" s="172" t="s">
        <v>55</v>
      </c>
      <c r="D79" s="173">
        <v>67</v>
      </c>
      <c r="E79" s="174">
        <v>0.12</v>
      </c>
      <c r="G79" s="99">
        <v>460261.44</v>
      </c>
      <c r="H79" s="99">
        <v>0</v>
      </c>
      <c r="I79" s="68">
        <f t="shared" si="21"/>
        <v>460261.44</v>
      </c>
      <c r="J79" s="110">
        <v>0</v>
      </c>
      <c r="K79" s="110">
        <v>0</v>
      </c>
      <c r="L79" s="175">
        <f t="shared" si="22"/>
        <v>0</v>
      </c>
      <c r="M79" s="12" t="str">
        <f t="shared" si="23"/>
        <v>N/A</v>
      </c>
      <c r="N79" s="176">
        <f t="shared" si="13"/>
        <v>460261.44</v>
      </c>
    </row>
    <row r="80" spans="1:14" hidden="1" outlineLevel="1" x14ac:dyDescent="0.2">
      <c r="A80" s="170" t="s">
        <v>99</v>
      </c>
      <c r="B80" s="171" t="s">
        <v>100</v>
      </c>
      <c r="C80" s="172" t="s">
        <v>55</v>
      </c>
      <c r="D80" s="173">
        <v>5</v>
      </c>
      <c r="E80" s="174">
        <v>0.12</v>
      </c>
      <c r="G80" s="99">
        <v>29279.52</v>
      </c>
      <c r="H80" s="99">
        <v>0</v>
      </c>
      <c r="I80" s="68">
        <f t="shared" si="21"/>
        <v>29279.52</v>
      </c>
      <c r="J80" s="110">
        <v>0</v>
      </c>
      <c r="K80" s="110">
        <v>0</v>
      </c>
      <c r="L80" s="175">
        <f t="shared" si="22"/>
        <v>0</v>
      </c>
      <c r="M80" s="12" t="str">
        <f t="shared" si="23"/>
        <v>N/A</v>
      </c>
      <c r="N80" s="176">
        <f t="shared" si="13"/>
        <v>29279.52</v>
      </c>
    </row>
    <row r="81" spans="1:14" hidden="1" outlineLevel="1" x14ac:dyDescent="0.2">
      <c r="A81" s="170" t="s">
        <v>104</v>
      </c>
      <c r="B81" s="171" t="s">
        <v>104</v>
      </c>
      <c r="C81" s="172" t="s">
        <v>55</v>
      </c>
      <c r="D81" s="173">
        <v>8</v>
      </c>
      <c r="E81" s="174">
        <v>0.12</v>
      </c>
      <c r="G81" s="99">
        <v>165314.88</v>
      </c>
      <c r="H81" s="99">
        <v>0</v>
      </c>
      <c r="I81" s="68">
        <f t="shared" si="21"/>
        <v>165314.88</v>
      </c>
      <c r="J81" s="110">
        <v>0</v>
      </c>
      <c r="K81" s="110">
        <v>0</v>
      </c>
      <c r="L81" s="175">
        <f t="shared" si="22"/>
        <v>0</v>
      </c>
      <c r="M81" s="12" t="str">
        <f t="shared" si="23"/>
        <v>N/A</v>
      </c>
      <c r="N81" s="176">
        <f t="shared" si="13"/>
        <v>165314.88</v>
      </c>
    </row>
    <row r="82" spans="1:14" hidden="1" outlineLevel="1" x14ac:dyDescent="0.2">
      <c r="A82" s="170" t="s">
        <v>105</v>
      </c>
      <c r="B82" s="171" t="s">
        <v>105</v>
      </c>
      <c r="C82" s="172" t="s">
        <v>55</v>
      </c>
      <c r="D82" s="173">
        <v>12</v>
      </c>
      <c r="E82" s="174">
        <v>0.12</v>
      </c>
      <c r="G82" s="99">
        <v>168374.88</v>
      </c>
      <c r="H82" s="99">
        <v>0</v>
      </c>
      <c r="I82" s="68">
        <f t="shared" si="21"/>
        <v>168374.88</v>
      </c>
      <c r="J82" s="110">
        <v>0</v>
      </c>
      <c r="K82" s="110">
        <v>0</v>
      </c>
      <c r="L82" s="175">
        <f t="shared" si="22"/>
        <v>0</v>
      </c>
      <c r="M82" s="12" t="str">
        <f t="shared" si="23"/>
        <v>N/A</v>
      </c>
      <c r="N82" s="176">
        <f t="shared" si="13"/>
        <v>168374.88</v>
      </c>
    </row>
    <row r="83" spans="1:14" hidden="1" outlineLevel="1" x14ac:dyDescent="0.2">
      <c r="A83" s="170" t="s">
        <v>106</v>
      </c>
      <c r="B83" s="171" t="s">
        <v>106</v>
      </c>
      <c r="C83" s="172" t="s">
        <v>55</v>
      </c>
      <c r="D83" s="173">
        <v>1</v>
      </c>
      <c r="E83" s="174">
        <v>0.12</v>
      </c>
      <c r="G83" s="99">
        <v>6685.2</v>
      </c>
      <c r="H83" s="99">
        <v>0</v>
      </c>
      <c r="I83" s="68">
        <f t="shared" si="21"/>
        <v>6685.2</v>
      </c>
      <c r="J83" s="110">
        <v>0</v>
      </c>
      <c r="K83" s="110">
        <v>0</v>
      </c>
      <c r="L83" s="175">
        <f t="shared" si="22"/>
        <v>0</v>
      </c>
      <c r="M83" s="12" t="str">
        <f t="shared" si="23"/>
        <v>N/A</v>
      </c>
      <c r="N83" s="176">
        <f t="shared" si="13"/>
        <v>6685.2</v>
      </c>
    </row>
    <row r="84" spans="1:14" hidden="1" outlineLevel="1" x14ac:dyDescent="0.2">
      <c r="A84" s="170" t="s">
        <v>107</v>
      </c>
      <c r="B84" s="171" t="s">
        <v>107</v>
      </c>
      <c r="C84" s="172" t="s">
        <v>55</v>
      </c>
      <c r="D84" s="173">
        <v>9</v>
      </c>
      <c r="E84" s="174">
        <v>0.12</v>
      </c>
      <c r="G84" s="99">
        <v>153604.79999999999</v>
      </c>
      <c r="H84" s="99">
        <v>0</v>
      </c>
      <c r="I84" s="68">
        <f t="shared" si="21"/>
        <v>153604.79999999999</v>
      </c>
      <c r="J84" s="110">
        <v>0</v>
      </c>
      <c r="K84" s="110">
        <v>0</v>
      </c>
      <c r="L84" s="175">
        <f t="shared" si="22"/>
        <v>0</v>
      </c>
      <c r="M84" s="12" t="str">
        <f t="shared" si="23"/>
        <v>N/A</v>
      </c>
      <c r="N84" s="176">
        <f t="shared" si="13"/>
        <v>153604.79999999999</v>
      </c>
    </row>
    <row r="85" spans="1:14" hidden="1" outlineLevel="1" x14ac:dyDescent="0.2">
      <c r="A85" s="170" t="s">
        <v>108</v>
      </c>
      <c r="B85" s="171" t="s">
        <v>108</v>
      </c>
      <c r="C85" s="172" t="s">
        <v>55</v>
      </c>
      <c r="D85" s="173">
        <v>30</v>
      </c>
      <c r="E85" s="174">
        <v>0.12</v>
      </c>
      <c r="G85" s="99">
        <v>757764</v>
      </c>
      <c r="H85" s="99">
        <v>0</v>
      </c>
      <c r="I85" s="68">
        <f t="shared" si="21"/>
        <v>757764</v>
      </c>
      <c r="J85" s="110">
        <v>0</v>
      </c>
      <c r="K85" s="110">
        <v>0</v>
      </c>
      <c r="L85" s="175">
        <f t="shared" si="22"/>
        <v>0</v>
      </c>
      <c r="M85" s="12" t="str">
        <f t="shared" si="23"/>
        <v>N/A</v>
      </c>
      <c r="N85" s="176">
        <f t="shared" si="13"/>
        <v>757764</v>
      </c>
    </row>
    <row r="86" spans="1:14" hidden="1" outlineLevel="1" x14ac:dyDescent="0.2">
      <c r="A86" s="170" t="s">
        <v>109</v>
      </c>
      <c r="B86" s="171" t="s">
        <v>109</v>
      </c>
      <c r="C86" s="172" t="s">
        <v>55</v>
      </c>
      <c r="D86" s="173">
        <v>6</v>
      </c>
      <c r="E86" s="174">
        <v>0.12</v>
      </c>
      <c r="G86" s="99">
        <v>103911.84</v>
      </c>
      <c r="H86" s="99">
        <v>0</v>
      </c>
      <c r="I86" s="68">
        <f t="shared" si="21"/>
        <v>103911.84</v>
      </c>
      <c r="J86" s="110">
        <v>0</v>
      </c>
      <c r="K86" s="110">
        <v>0</v>
      </c>
      <c r="L86" s="175">
        <f t="shared" si="22"/>
        <v>0</v>
      </c>
      <c r="M86" s="12" t="str">
        <f t="shared" si="23"/>
        <v>N/A</v>
      </c>
      <c r="N86" s="176">
        <f t="shared" si="13"/>
        <v>103911.84</v>
      </c>
    </row>
    <row r="87" spans="1:14" hidden="1" outlineLevel="1" x14ac:dyDescent="0.2">
      <c r="A87" s="170" t="s">
        <v>110</v>
      </c>
      <c r="B87" s="171" t="s">
        <v>111</v>
      </c>
      <c r="C87" s="172" t="s">
        <v>55</v>
      </c>
      <c r="D87" s="173">
        <v>1</v>
      </c>
      <c r="E87" s="174">
        <v>0.2</v>
      </c>
      <c r="G87" s="99">
        <v>40788</v>
      </c>
      <c r="H87" s="99">
        <v>34670</v>
      </c>
      <c r="I87" s="68">
        <f t="shared" si="21"/>
        <v>6118</v>
      </c>
      <c r="J87" s="110">
        <v>17334</v>
      </c>
      <c r="K87" s="110">
        <v>16748.5</v>
      </c>
      <c r="L87" s="175">
        <f t="shared" si="22"/>
        <v>34082.5</v>
      </c>
      <c r="M87" s="12">
        <f t="shared" si="23"/>
        <v>0.98305451398903954</v>
      </c>
      <c r="N87" s="176">
        <f t="shared" si="13"/>
        <v>40200.5</v>
      </c>
    </row>
    <row r="88" spans="1:14" hidden="1" outlineLevel="1" x14ac:dyDescent="0.2">
      <c r="A88" s="170" t="s">
        <v>113</v>
      </c>
      <c r="B88" s="171" t="s">
        <v>113</v>
      </c>
      <c r="C88" s="172" t="s">
        <v>55</v>
      </c>
      <c r="D88" s="173">
        <v>15</v>
      </c>
      <c r="E88" s="174">
        <v>0.12</v>
      </c>
      <c r="G88" s="99">
        <v>189171.36</v>
      </c>
      <c r="H88" s="99">
        <v>0</v>
      </c>
      <c r="I88" s="68">
        <f t="shared" si="21"/>
        <v>189171.36</v>
      </c>
      <c r="J88" s="110">
        <v>0</v>
      </c>
      <c r="K88" s="110">
        <v>0</v>
      </c>
      <c r="L88" s="175">
        <f t="shared" si="22"/>
        <v>0</v>
      </c>
      <c r="M88" s="12" t="str">
        <f t="shared" si="23"/>
        <v>N/A</v>
      </c>
      <c r="N88" s="176">
        <f t="shared" si="13"/>
        <v>189171.36</v>
      </c>
    </row>
    <row r="89" spans="1:14" hidden="1" outlineLevel="1" x14ac:dyDescent="0.2">
      <c r="A89" s="170" t="s">
        <v>118</v>
      </c>
      <c r="B89" s="171" t="s">
        <v>119</v>
      </c>
      <c r="C89" s="172" t="s">
        <v>55</v>
      </c>
      <c r="D89" s="173">
        <v>1</v>
      </c>
      <c r="E89" s="174">
        <v>0.12</v>
      </c>
      <c r="G89" s="99">
        <v>21097.200000000001</v>
      </c>
      <c r="H89" s="99">
        <v>14450</v>
      </c>
      <c r="I89" s="68">
        <f t="shared" si="21"/>
        <v>6647.2000000000007</v>
      </c>
      <c r="J89" s="110">
        <v>7269.14</v>
      </c>
      <c r="K89" s="110">
        <v>7603.65</v>
      </c>
      <c r="L89" s="175">
        <f t="shared" si="22"/>
        <v>14872.79</v>
      </c>
      <c r="M89" s="12">
        <f t="shared" si="23"/>
        <v>1.0292588235294118</v>
      </c>
      <c r="N89" s="176">
        <f t="shared" si="13"/>
        <v>21519.99</v>
      </c>
    </row>
    <row r="90" spans="1:14" hidden="1" outlineLevel="1" x14ac:dyDescent="0.2">
      <c r="A90" s="170" t="s">
        <v>120</v>
      </c>
      <c r="B90" s="171" t="s">
        <v>121</v>
      </c>
      <c r="C90" s="172" t="s">
        <v>55</v>
      </c>
      <c r="D90" s="173">
        <v>1</v>
      </c>
      <c r="E90" s="174">
        <v>0.2</v>
      </c>
      <c r="G90" s="99">
        <v>12069.391680000001</v>
      </c>
      <c r="H90" s="99">
        <v>10259</v>
      </c>
      <c r="I90" s="68">
        <f t="shared" si="21"/>
        <v>1810.3916800000006</v>
      </c>
      <c r="J90" s="110">
        <v>4970.43</v>
      </c>
      <c r="K90" s="110">
        <v>3570.11</v>
      </c>
      <c r="L90" s="175">
        <f t="shared" si="22"/>
        <v>8540.5400000000009</v>
      </c>
      <c r="M90" s="12">
        <f t="shared" si="23"/>
        <v>0.8324924456574716</v>
      </c>
      <c r="N90" s="176">
        <f t="shared" si="13"/>
        <v>10350.931680000002</v>
      </c>
    </row>
    <row r="91" spans="1:14" hidden="1" outlineLevel="1" x14ac:dyDescent="0.2">
      <c r="A91" s="170" t="s">
        <v>124</v>
      </c>
      <c r="B91" s="171" t="s">
        <v>125</v>
      </c>
      <c r="C91" s="172" t="s">
        <v>55</v>
      </c>
      <c r="D91" s="173">
        <v>1</v>
      </c>
      <c r="E91" s="174">
        <v>0.50000454119128745</v>
      </c>
      <c r="G91" s="99">
        <v>45406.587599999999</v>
      </c>
      <c r="H91" s="99">
        <v>19298</v>
      </c>
      <c r="I91" s="68">
        <f t="shared" si="21"/>
        <v>26108.587599999999</v>
      </c>
      <c r="J91" s="110">
        <v>7135.08</v>
      </c>
      <c r="K91" s="110">
        <v>9499.2999999999993</v>
      </c>
      <c r="L91" s="175">
        <f t="shared" si="22"/>
        <v>16634.379999999997</v>
      </c>
      <c r="M91" s="12">
        <f t="shared" si="23"/>
        <v>0.86197429785469981</v>
      </c>
      <c r="N91" s="176">
        <f t="shared" si="13"/>
        <v>42742.967599999996</v>
      </c>
    </row>
    <row r="92" spans="1:14" hidden="1" outlineLevel="1" x14ac:dyDescent="0.2">
      <c r="A92" s="170" t="s">
        <v>126</v>
      </c>
      <c r="B92" s="171" t="s">
        <v>127</v>
      </c>
      <c r="C92" s="172" t="s">
        <v>55</v>
      </c>
      <c r="D92" s="173">
        <v>1</v>
      </c>
      <c r="E92" s="174">
        <v>0.11931481894728255</v>
      </c>
      <c r="G92" s="99">
        <v>56447.305199999995</v>
      </c>
      <c r="H92" s="99">
        <v>5725</v>
      </c>
      <c r="I92" s="68">
        <f t="shared" ref="I92:I101" si="24">G92-H92</f>
        <v>50722.305199999995</v>
      </c>
      <c r="J92" s="110">
        <v>2960.7</v>
      </c>
      <c r="K92" s="110">
        <v>2972.34</v>
      </c>
      <c r="L92" s="175">
        <f t="shared" si="11"/>
        <v>5933.04</v>
      </c>
      <c r="M92" s="12">
        <f t="shared" si="12"/>
        <v>1.036338864628821</v>
      </c>
      <c r="N92" s="176">
        <f t="shared" si="13"/>
        <v>56655.345199999996</v>
      </c>
    </row>
    <row r="93" spans="1:14" hidden="1" outlineLevel="1" x14ac:dyDescent="0.2">
      <c r="A93" s="170" t="s">
        <v>128</v>
      </c>
      <c r="B93" s="171" t="s">
        <v>129</v>
      </c>
      <c r="C93" s="172" t="s">
        <v>55</v>
      </c>
      <c r="D93" s="173">
        <v>1</v>
      </c>
      <c r="E93" s="174">
        <v>0.294022087874038</v>
      </c>
      <c r="G93" s="99">
        <v>50577.832799999996</v>
      </c>
      <c r="H93" s="99">
        <v>12640</v>
      </c>
      <c r="I93" s="68">
        <f t="shared" si="24"/>
        <v>37937.832799999996</v>
      </c>
      <c r="J93" s="110">
        <v>5963.77</v>
      </c>
      <c r="K93" s="110">
        <v>6354.87</v>
      </c>
      <c r="L93" s="175">
        <f t="shared" si="11"/>
        <v>12318.64</v>
      </c>
      <c r="M93" s="12">
        <f t="shared" si="12"/>
        <v>0.97457594936708858</v>
      </c>
      <c r="N93" s="176">
        <f t="shared" si="13"/>
        <v>50256.472799999996</v>
      </c>
    </row>
    <row r="94" spans="1:14" hidden="1" outlineLevel="1" x14ac:dyDescent="0.2">
      <c r="A94" s="170" t="s">
        <v>130</v>
      </c>
      <c r="B94" s="171" t="s">
        <v>131</v>
      </c>
      <c r="C94" s="172" t="s">
        <v>55</v>
      </c>
      <c r="D94" s="173">
        <v>1</v>
      </c>
      <c r="E94" s="174">
        <v>0</v>
      </c>
      <c r="G94" s="99">
        <v>61897.439999999995</v>
      </c>
      <c r="H94" s="99">
        <v>0</v>
      </c>
      <c r="I94" s="68">
        <f t="shared" si="24"/>
        <v>61897.439999999995</v>
      </c>
      <c r="J94" s="110">
        <v>0</v>
      </c>
      <c r="K94" s="110">
        <v>0</v>
      </c>
      <c r="L94" s="175">
        <f t="shared" si="11"/>
        <v>0</v>
      </c>
      <c r="M94" s="12" t="str">
        <f t="shared" si="12"/>
        <v>N/A</v>
      </c>
      <c r="N94" s="176">
        <f t="shared" si="13"/>
        <v>61897.439999999995</v>
      </c>
    </row>
    <row r="95" spans="1:14" hidden="1" outlineLevel="1" x14ac:dyDescent="0.2">
      <c r="A95" s="170" t="s">
        <v>132</v>
      </c>
      <c r="B95" s="171" t="s">
        <v>133</v>
      </c>
      <c r="C95" s="172" t="s">
        <v>55</v>
      </c>
      <c r="D95" s="173">
        <v>1</v>
      </c>
      <c r="E95" s="174">
        <v>0</v>
      </c>
      <c r="G95" s="99">
        <v>44577.44279999999</v>
      </c>
      <c r="H95" s="99">
        <v>0</v>
      </c>
      <c r="I95" s="68">
        <f t="shared" si="24"/>
        <v>44577.44279999999</v>
      </c>
      <c r="J95" s="110">
        <v>0</v>
      </c>
      <c r="K95" s="110">
        <v>0</v>
      </c>
      <c r="L95" s="175">
        <f t="shared" ref="L95:L101" si="25">SUM(J95:K95)</f>
        <v>0</v>
      </c>
      <c r="M95" s="12" t="str">
        <f t="shared" ref="M95:M101" si="26">IFERROR(L95/H95,"N/A")</f>
        <v>N/A</v>
      </c>
      <c r="N95" s="176">
        <f t="shared" si="13"/>
        <v>44577.44279999999</v>
      </c>
    </row>
    <row r="96" spans="1:14" hidden="1" outlineLevel="1" x14ac:dyDescent="0.2">
      <c r="A96" s="170" t="s">
        <v>134</v>
      </c>
      <c r="B96" s="171" t="s">
        <v>70</v>
      </c>
      <c r="C96" s="172" t="s">
        <v>55</v>
      </c>
      <c r="D96" s="173">
        <v>1</v>
      </c>
      <c r="E96" s="174">
        <v>0</v>
      </c>
      <c r="G96" s="99">
        <v>82215.182719999997</v>
      </c>
      <c r="H96" s="99">
        <v>0</v>
      </c>
      <c r="I96" s="68">
        <f t="shared" si="24"/>
        <v>82215.182719999997</v>
      </c>
      <c r="J96" s="110">
        <v>0</v>
      </c>
      <c r="K96" s="110">
        <v>0</v>
      </c>
      <c r="L96" s="175">
        <f t="shared" si="25"/>
        <v>0</v>
      </c>
      <c r="M96" s="12" t="str">
        <f t="shared" si="26"/>
        <v>N/A</v>
      </c>
      <c r="N96" s="176">
        <f>I96+L96</f>
        <v>82215.182719999997</v>
      </c>
    </row>
    <row r="97" spans="1:14" hidden="1" outlineLevel="1" x14ac:dyDescent="0.2">
      <c r="A97" s="170" t="s">
        <v>135</v>
      </c>
      <c r="B97" s="171" t="s">
        <v>136</v>
      </c>
      <c r="C97" s="172" t="s">
        <v>55</v>
      </c>
      <c r="D97" s="173">
        <v>1</v>
      </c>
      <c r="E97" s="174">
        <v>0</v>
      </c>
      <c r="G97" s="99">
        <v>90451.01999999999</v>
      </c>
      <c r="H97" s="99">
        <v>0</v>
      </c>
      <c r="I97" s="68">
        <f t="shared" si="24"/>
        <v>90451.01999999999</v>
      </c>
      <c r="J97" s="110">
        <v>0</v>
      </c>
      <c r="K97" s="110">
        <v>0</v>
      </c>
      <c r="L97" s="175">
        <f t="shared" si="25"/>
        <v>0</v>
      </c>
      <c r="M97" s="12" t="str">
        <f t="shared" si="26"/>
        <v>N/A</v>
      </c>
      <c r="N97" s="176">
        <f t="shared" si="13"/>
        <v>90451.01999999999</v>
      </c>
    </row>
    <row r="98" spans="1:14" hidden="1" outlineLevel="1" x14ac:dyDescent="0.2">
      <c r="A98" s="170" t="s">
        <v>137</v>
      </c>
      <c r="B98" s="171" t="s">
        <v>138</v>
      </c>
      <c r="C98" s="172" t="s">
        <v>55</v>
      </c>
      <c r="D98" s="173">
        <v>1</v>
      </c>
      <c r="E98" s="174">
        <v>0</v>
      </c>
      <c r="G98" s="99">
        <v>64305.119999999995</v>
      </c>
      <c r="H98" s="99">
        <v>0</v>
      </c>
      <c r="I98" s="68">
        <f t="shared" si="24"/>
        <v>64305.119999999995</v>
      </c>
      <c r="J98" s="110">
        <v>0</v>
      </c>
      <c r="K98" s="110">
        <v>0</v>
      </c>
      <c r="L98" s="175">
        <f t="shared" si="25"/>
        <v>0</v>
      </c>
      <c r="M98" s="12" t="str">
        <f t="shared" si="26"/>
        <v>N/A</v>
      </c>
      <c r="N98" s="176">
        <f t="shared" si="13"/>
        <v>64305.119999999995</v>
      </c>
    </row>
    <row r="99" spans="1:14" hidden="1" outlineLevel="1" x14ac:dyDescent="0.2">
      <c r="A99" s="170" t="s">
        <v>139</v>
      </c>
      <c r="B99" s="171" t="s">
        <v>140</v>
      </c>
      <c r="C99" s="172" t="s">
        <v>55</v>
      </c>
      <c r="D99" s="173">
        <v>1</v>
      </c>
      <c r="E99" s="174">
        <v>0</v>
      </c>
      <c r="G99" s="99">
        <v>58367.429999999993</v>
      </c>
      <c r="H99" s="99">
        <v>0</v>
      </c>
      <c r="I99" s="68">
        <f t="shared" si="24"/>
        <v>58367.429999999993</v>
      </c>
      <c r="J99" s="110">
        <v>0</v>
      </c>
      <c r="K99" s="110">
        <v>0</v>
      </c>
      <c r="L99" s="175">
        <f t="shared" si="25"/>
        <v>0</v>
      </c>
      <c r="M99" s="12" t="str">
        <f t="shared" si="26"/>
        <v>N/A</v>
      </c>
      <c r="N99" s="176">
        <f>I99+L99</f>
        <v>58367.429999999993</v>
      </c>
    </row>
    <row r="100" spans="1:14" hidden="1" outlineLevel="1" x14ac:dyDescent="0.2">
      <c r="A100" s="170" t="s">
        <v>141</v>
      </c>
      <c r="B100" s="171" t="s">
        <v>133</v>
      </c>
      <c r="C100" s="172" t="s">
        <v>55</v>
      </c>
      <c r="D100" s="173">
        <v>1</v>
      </c>
      <c r="E100" s="174">
        <v>0</v>
      </c>
      <c r="G100" s="99">
        <v>52367.039999999994</v>
      </c>
      <c r="H100" s="99">
        <v>0</v>
      </c>
      <c r="I100" s="68">
        <f t="shared" si="24"/>
        <v>52367.039999999994</v>
      </c>
      <c r="J100" s="110">
        <v>0</v>
      </c>
      <c r="K100" s="110">
        <v>0</v>
      </c>
      <c r="L100" s="175">
        <f t="shared" si="25"/>
        <v>0</v>
      </c>
      <c r="M100" s="12" t="str">
        <f t="shared" si="26"/>
        <v>N/A</v>
      </c>
      <c r="N100" s="176">
        <f t="shared" si="13"/>
        <v>52367.039999999994</v>
      </c>
    </row>
    <row r="101" spans="1:14" hidden="1" outlineLevel="1" x14ac:dyDescent="0.2">
      <c r="A101" s="170" t="s">
        <v>142</v>
      </c>
      <c r="B101" s="171" t="s">
        <v>133</v>
      </c>
      <c r="C101" s="172" t="s">
        <v>55</v>
      </c>
      <c r="D101" s="173">
        <v>1</v>
      </c>
      <c r="E101" s="174">
        <v>0</v>
      </c>
      <c r="G101" s="99">
        <v>32464</v>
      </c>
      <c r="H101" s="99">
        <v>0</v>
      </c>
      <c r="I101" s="68">
        <f t="shared" si="24"/>
        <v>32464</v>
      </c>
      <c r="J101" s="110">
        <v>0</v>
      </c>
      <c r="K101" s="110">
        <v>0</v>
      </c>
      <c r="L101" s="175">
        <f t="shared" si="25"/>
        <v>0</v>
      </c>
      <c r="M101" s="12" t="str">
        <f t="shared" si="26"/>
        <v>N/A</v>
      </c>
      <c r="N101" s="176">
        <f t="shared" si="13"/>
        <v>32464</v>
      </c>
    </row>
    <row r="102" spans="1:14" hidden="1" outlineLevel="1" x14ac:dyDescent="0.2">
      <c r="A102" s="170" t="s">
        <v>143</v>
      </c>
      <c r="B102" s="171" t="s">
        <v>133</v>
      </c>
      <c r="C102" s="172" t="s">
        <v>55</v>
      </c>
      <c r="D102" s="173">
        <v>1</v>
      </c>
      <c r="E102" s="174">
        <v>0</v>
      </c>
      <c r="G102" s="99">
        <v>54548.999999999993</v>
      </c>
      <c r="H102" s="99">
        <v>0</v>
      </c>
      <c r="I102" s="68">
        <f t="shared" ref="I102:I104" si="27">G102-H102</f>
        <v>54548.999999999993</v>
      </c>
      <c r="J102" s="110">
        <v>0</v>
      </c>
      <c r="K102" s="110">
        <v>0</v>
      </c>
      <c r="L102" s="175">
        <f t="shared" ref="L102:L104" si="28">SUM(J102:K102)</f>
        <v>0</v>
      </c>
      <c r="M102" s="12" t="str">
        <f t="shared" ref="M102:M104" si="29">IFERROR(L102/H102,"N/A")</f>
        <v>N/A</v>
      </c>
      <c r="N102" s="176">
        <f t="shared" si="13"/>
        <v>54548.999999999993</v>
      </c>
    </row>
    <row r="103" spans="1:14" hidden="1" outlineLevel="1" x14ac:dyDescent="0.2">
      <c r="A103" s="170" t="s">
        <v>144</v>
      </c>
      <c r="B103" s="171" t="s">
        <v>145</v>
      </c>
      <c r="C103" s="172" t="s">
        <v>55</v>
      </c>
      <c r="D103" s="173">
        <v>1</v>
      </c>
      <c r="E103" s="174">
        <v>0</v>
      </c>
      <c r="G103" s="99">
        <v>61989.4836</v>
      </c>
      <c r="H103" s="99">
        <v>0</v>
      </c>
      <c r="I103" s="68">
        <f t="shared" si="27"/>
        <v>61989.4836</v>
      </c>
      <c r="J103" s="110">
        <v>0</v>
      </c>
      <c r="K103" s="110">
        <v>0</v>
      </c>
      <c r="L103" s="175">
        <f t="shared" si="28"/>
        <v>0</v>
      </c>
      <c r="M103" s="12" t="str">
        <f t="shared" si="29"/>
        <v>N/A</v>
      </c>
      <c r="N103" s="176">
        <f t="shared" si="13"/>
        <v>61989.4836</v>
      </c>
    </row>
    <row r="104" spans="1:14" hidden="1" outlineLevel="1" x14ac:dyDescent="0.2">
      <c r="A104" s="170" t="s">
        <v>146</v>
      </c>
      <c r="B104" s="171" t="s">
        <v>133</v>
      </c>
      <c r="C104" s="172" t="s">
        <v>55</v>
      </c>
      <c r="D104" s="173">
        <v>1</v>
      </c>
      <c r="E104" s="174">
        <v>0</v>
      </c>
      <c r="G104" s="99">
        <v>19776</v>
      </c>
      <c r="H104" s="99">
        <v>0</v>
      </c>
      <c r="I104" s="68">
        <f t="shared" si="27"/>
        <v>19776</v>
      </c>
      <c r="J104" s="110">
        <v>0</v>
      </c>
      <c r="K104" s="110">
        <v>0</v>
      </c>
      <c r="L104" s="175">
        <f t="shared" si="28"/>
        <v>0</v>
      </c>
      <c r="M104" s="12" t="str">
        <f t="shared" si="29"/>
        <v>N/A</v>
      </c>
      <c r="N104" s="176">
        <f t="shared" si="13"/>
        <v>19776</v>
      </c>
    </row>
    <row r="105" spans="1:14" hidden="1" outlineLevel="1" x14ac:dyDescent="0.2">
      <c r="A105" s="170" t="s">
        <v>149</v>
      </c>
      <c r="B105" s="171" t="s">
        <v>97</v>
      </c>
      <c r="C105" s="172" t="s">
        <v>55</v>
      </c>
      <c r="D105" s="173">
        <v>1</v>
      </c>
      <c r="E105" s="174">
        <v>0</v>
      </c>
      <c r="G105" s="99">
        <v>152069.06879999998</v>
      </c>
      <c r="H105" s="99">
        <v>0</v>
      </c>
      <c r="I105" s="68">
        <f t="shared" ref="I105" si="30">G105-H105</f>
        <v>152069.06879999998</v>
      </c>
      <c r="J105" s="110">
        <v>0</v>
      </c>
      <c r="K105" s="110">
        <v>0</v>
      </c>
      <c r="L105" s="175">
        <f t="shared" si="11"/>
        <v>0</v>
      </c>
      <c r="M105" s="12" t="str">
        <f t="shared" si="12"/>
        <v>N/A</v>
      </c>
      <c r="N105" s="176">
        <f>I105+L105</f>
        <v>152069.06879999998</v>
      </c>
    </row>
    <row r="106" spans="1:14" collapsed="1" x14ac:dyDescent="0.2">
      <c r="A106" s="170"/>
      <c r="B106" s="171"/>
      <c r="C106" s="172" t="s">
        <v>55</v>
      </c>
      <c r="D106" s="173">
        <f>SUM(D70:D105)</f>
        <v>245</v>
      </c>
      <c r="E106" s="174"/>
      <c r="G106" s="99">
        <f>SUM(G70:G105)</f>
        <v>3650169.3051999998</v>
      </c>
      <c r="H106" s="99">
        <f>SUM(H70:H105)</f>
        <v>146297</v>
      </c>
      <c r="I106" s="68">
        <f>G106-H106</f>
        <v>3503872.3051999998</v>
      </c>
      <c r="J106" s="110">
        <f>SUM(J70:J105)</f>
        <v>70615.839999999997</v>
      </c>
      <c r="K106" s="110">
        <f>SUM(K70:K105)</f>
        <v>75556.87</v>
      </c>
      <c r="L106" s="175">
        <f>SUM(J106:K106)</f>
        <v>146172.71</v>
      </c>
      <c r="M106" s="12">
        <f>IFERROR(L106/H106,"N/A")</f>
        <v>0.99915042687136435</v>
      </c>
      <c r="N106" s="176">
        <f>SUM(L106,I106)</f>
        <v>3650045.0151999998</v>
      </c>
    </row>
    <row r="107" spans="1:14" x14ac:dyDescent="0.2">
      <c r="A107" s="170"/>
      <c r="B107" s="171"/>
      <c r="C107" s="177"/>
      <c r="D107" s="178"/>
      <c r="E107" s="179"/>
      <c r="G107" s="99">
        <v>0</v>
      </c>
      <c r="H107" s="99">
        <v>0</v>
      </c>
      <c r="I107" s="68">
        <f t="shared" ref="I107" si="31">G107-H107</f>
        <v>0</v>
      </c>
      <c r="J107" s="110">
        <v>0</v>
      </c>
      <c r="K107" s="110">
        <v>0</v>
      </c>
      <c r="L107" s="175">
        <f t="shared" ref="L107" si="32">SUM(J107:K107)</f>
        <v>0</v>
      </c>
      <c r="M107" s="12" t="str">
        <f t="shared" ref="M107" si="33">IFERROR(L107/H107,"N/A")</f>
        <v>N/A</v>
      </c>
      <c r="N107" s="176">
        <f t="shared" si="13"/>
        <v>0</v>
      </c>
    </row>
    <row r="108" spans="1:14" ht="13.5" thickBot="1" x14ac:dyDescent="0.25">
      <c r="A108" s="135"/>
      <c r="B108" s="136"/>
      <c r="C108" s="180" t="s">
        <v>150</v>
      </c>
      <c r="D108" s="181"/>
      <c r="E108" s="181"/>
      <c r="F108" s="136"/>
      <c r="G108" s="69">
        <f>SUM(G55,G69,G106)</f>
        <v>4562040.9459999995</v>
      </c>
      <c r="H108" s="69">
        <f>SUM(H55,H69,H106)</f>
        <v>176545</v>
      </c>
      <c r="I108" s="69">
        <f t="shared" ref="I108:K108" si="34">SUM(I55,I69,I106)</f>
        <v>4385495.9459999995</v>
      </c>
      <c r="J108" s="69">
        <f t="shared" si="34"/>
        <v>87616.44</v>
      </c>
      <c r="K108" s="69">
        <f t="shared" si="34"/>
        <v>89938.4</v>
      </c>
      <c r="L108" s="69">
        <f>SUM(L55,L69,L106)</f>
        <v>177554.84</v>
      </c>
      <c r="M108" s="19">
        <f>IFERROR(L108/H108,"N/A")</f>
        <v>1.0057200147271235</v>
      </c>
      <c r="N108" s="70">
        <f>SUM(N55,N69,N106)</f>
        <v>4563050.7860000003</v>
      </c>
    </row>
    <row r="109" spans="1:14" ht="13.5" thickBot="1" x14ac:dyDescent="0.25"/>
    <row r="110" spans="1:14" x14ac:dyDescent="0.2">
      <c r="A110" s="182" t="s">
        <v>151</v>
      </c>
      <c r="B110" s="159"/>
      <c r="C110" s="159"/>
      <c r="D110" s="159"/>
      <c r="E110" s="159"/>
      <c r="F110" s="160"/>
      <c r="G110" s="161"/>
      <c r="H110" s="161"/>
      <c r="I110" s="161"/>
      <c r="J110" s="161"/>
      <c r="K110" s="161"/>
      <c r="L110" s="161"/>
      <c r="M110" s="4"/>
      <c r="N110" s="3"/>
    </row>
    <row r="111" spans="1:14" s="166" customFormat="1" ht="11.25" x14ac:dyDescent="0.2">
      <c r="A111" s="162" t="s">
        <v>152</v>
      </c>
      <c r="B111" s="163"/>
      <c r="C111" s="163"/>
      <c r="D111" s="163"/>
      <c r="E111" s="163"/>
      <c r="F111" s="164"/>
      <c r="G111" s="165"/>
      <c r="H111" s="165"/>
      <c r="I111" s="165"/>
      <c r="J111" s="165"/>
      <c r="K111" s="165"/>
      <c r="L111" s="165"/>
      <c r="M111" s="6"/>
      <c r="N111" s="5"/>
    </row>
    <row r="112" spans="1:14" ht="33.75" x14ac:dyDescent="0.2">
      <c r="A112" s="183" t="s">
        <v>153</v>
      </c>
      <c r="B112" s="184"/>
      <c r="C112" s="185"/>
      <c r="D112" s="185"/>
      <c r="E112" s="185"/>
      <c r="F112" s="185"/>
      <c r="G112" s="169" t="str">
        <f>G$18</f>
        <v>TOTAL
PROGRAM
BUDGET</v>
      </c>
      <c r="H112" s="169" t="str">
        <f t="shared" ref="H112:N112" si="35">H$18</f>
        <v>HSGP GRANT
BUDGET</v>
      </c>
      <c r="I112" s="169" t="str">
        <f t="shared" si="35"/>
        <v>NON-CITY PROGRAM BUDGET</v>
      </c>
      <c r="J112" s="169" t="str">
        <f t="shared" si="35"/>
        <v>HSGP
MID-YEAR EXPEND.</v>
      </c>
      <c r="K112" s="169" t="str">
        <f t="shared" si="35"/>
        <v>HSGP
YEAR-END EXPEND.</v>
      </c>
      <c r="L112" s="169" t="str">
        <f t="shared" si="35"/>
        <v>HSGP TOTAL EXPEND.</v>
      </c>
      <c r="M112" s="18" t="str">
        <f t="shared" si="35"/>
        <v>HSGP PERCENT EXPENDED</v>
      </c>
      <c r="N112" s="93" t="str">
        <f t="shared" si="35"/>
        <v>YEAR-END
 TOTAL PROGRAM EXPEND.</v>
      </c>
    </row>
    <row r="113" spans="1:14" x14ac:dyDescent="0.2">
      <c r="A113" s="186" t="s">
        <v>154</v>
      </c>
      <c r="B113" s="187" t="s">
        <v>155</v>
      </c>
      <c r="C113" s="187" t="s">
        <v>155</v>
      </c>
      <c r="D113" s="188" t="s">
        <v>155</v>
      </c>
      <c r="E113" s="189"/>
      <c r="F113" s="190"/>
      <c r="G113" s="100">
        <v>463047.15601899999</v>
      </c>
      <c r="H113" s="100">
        <v>17919</v>
      </c>
      <c r="I113" s="64">
        <f t="shared" ref="I113:I122" si="36">G113-H113</f>
        <v>445128.15601899999</v>
      </c>
      <c r="J113" s="110">
        <v>8535.02</v>
      </c>
      <c r="K113" s="110">
        <v>8759.27</v>
      </c>
      <c r="L113" s="64">
        <f>SUM(J113:K113)</f>
        <v>17294.29</v>
      </c>
      <c r="M113" s="12">
        <f>IFERROR(L113/H113,"N/A")</f>
        <v>0.96513700541324854</v>
      </c>
      <c r="N113" s="176">
        <f t="shared" ref="N113:N122" si="37">I113+L113</f>
        <v>462422.44601899997</v>
      </c>
    </row>
    <row r="114" spans="1:14" x14ac:dyDescent="0.2">
      <c r="A114" s="191" t="s">
        <v>156</v>
      </c>
      <c r="B114" s="187" t="s">
        <v>155</v>
      </c>
      <c r="C114" s="101" t="s">
        <v>155</v>
      </c>
      <c r="D114" s="188" t="s">
        <v>155</v>
      </c>
      <c r="E114" s="189"/>
      <c r="F114" s="190"/>
      <c r="G114" s="100">
        <v>348996.13236899994</v>
      </c>
      <c r="H114" s="100">
        <v>13506</v>
      </c>
      <c r="I114" s="68">
        <f t="shared" ref="I114:I117" si="38">G114-H114</f>
        <v>335490.13236899994</v>
      </c>
      <c r="J114" s="110">
        <v>6702.66</v>
      </c>
      <c r="K114" s="148">
        <v>6880.26</v>
      </c>
      <c r="L114" s="68">
        <f t="shared" ref="L114:L117" si="39">SUM(J114:K114)</f>
        <v>13582.92</v>
      </c>
      <c r="M114" s="11">
        <f t="shared" ref="M114:M117" si="40">IFERROR(L114/H114,"N/A")</f>
        <v>1.0056952465570856</v>
      </c>
      <c r="N114" s="176">
        <f t="shared" si="37"/>
        <v>349073.05236899992</v>
      </c>
    </row>
    <row r="115" spans="1:14" x14ac:dyDescent="0.2">
      <c r="A115" s="191" t="s">
        <v>157</v>
      </c>
      <c r="B115" s="187" t="s">
        <v>155</v>
      </c>
      <c r="C115" s="101" t="s">
        <v>155</v>
      </c>
      <c r="D115" s="188" t="s">
        <v>155</v>
      </c>
      <c r="E115" s="189"/>
      <c r="F115" s="190"/>
      <c r="G115" s="100">
        <v>61587.552770999995</v>
      </c>
      <c r="H115" s="100">
        <v>2383</v>
      </c>
      <c r="I115" s="68">
        <f t="shared" si="38"/>
        <v>59204.552770999995</v>
      </c>
      <c r="J115" s="110">
        <v>1182.82</v>
      </c>
      <c r="K115" s="148">
        <v>1214.1600000000001</v>
      </c>
      <c r="L115" s="68">
        <f t="shared" si="39"/>
        <v>2396.98</v>
      </c>
      <c r="M115" s="11">
        <f t="shared" si="40"/>
        <v>1.005866554762904</v>
      </c>
      <c r="N115" s="176">
        <f t="shared" si="37"/>
        <v>61601.532770999998</v>
      </c>
    </row>
    <row r="116" spans="1:14" x14ac:dyDescent="0.2">
      <c r="A116" s="191" t="s">
        <v>158</v>
      </c>
      <c r="B116" s="187" t="s">
        <v>155</v>
      </c>
      <c r="C116" s="101" t="s">
        <v>155</v>
      </c>
      <c r="D116" s="188" t="s">
        <v>155</v>
      </c>
      <c r="E116" s="189"/>
      <c r="F116" s="190"/>
      <c r="G116" s="100">
        <v>102645.92128499999</v>
      </c>
      <c r="H116" s="100">
        <v>3972</v>
      </c>
      <c r="I116" s="68">
        <f t="shared" ref="I116" si="41">G116-H116</f>
        <v>98673.921284999989</v>
      </c>
      <c r="J116" s="110">
        <v>1971.37</v>
      </c>
      <c r="K116" s="148">
        <v>2023.61</v>
      </c>
      <c r="L116" s="68">
        <f t="shared" ref="L116" si="42">SUM(J116:K116)</f>
        <v>3994.9799999999996</v>
      </c>
      <c r="M116" s="11">
        <f t="shared" ref="M116" si="43">IFERROR(L116/H116,"N/A")</f>
        <v>1.0057854984894259</v>
      </c>
      <c r="N116" s="176">
        <f t="shared" si="37"/>
        <v>102668.90128499999</v>
      </c>
    </row>
    <row r="117" spans="1:14" x14ac:dyDescent="0.2">
      <c r="A117" s="191" t="s">
        <v>159</v>
      </c>
      <c r="B117" s="187" t="s">
        <v>155</v>
      </c>
      <c r="C117" s="101" t="s">
        <v>155</v>
      </c>
      <c r="D117" s="188" t="s">
        <v>155</v>
      </c>
      <c r="E117" s="189"/>
      <c r="F117" s="190"/>
      <c r="G117" s="100">
        <v>49270.0422168</v>
      </c>
      <c r="H117" s="100">
        <v>1907</v>
      </c>
      <c r="I117" s="68">
        <f t="shared" si="38"/>
        <v>47363.0422168</v>
      </c>
      <c r="J117" s="110">
        <v>946.26</v>
      </c>
      <c r="K117" s="148">
        <v>971.33</v>
      </c>
      <c r="L117" s="68">
        <f t="shared" si="39"/>
        <v>1917.5900000000001</v>
      </c>
      <c r="M117" s="11">
        <f t="shared" si="40"/>
        <v>1.0055532249606713</v>
      </c>
      <c r="N117" s="176">
        <f t="shared" si="37"/>
        <v>49280.632216800004</v>
      </c>
    </row>
    <row r="118" spans="1:14" x14ac:dyDescent="0.2">
      <c r="A118" s="191" t="s">
        <v>160</v>
      </c>
      <c r="B118" s="187" t="s">
        <v>155</v>
      </c>
      <c r="C118" s="101" t="s">
        <v>155</v>
      </c>
      <c r="D118" s="188" t="s">
        <v>155</v>
      </c>
      <c r="E118" s="189"/>
      <c r="F118" s="190"/>
      <c r="G118" s="100">
        <v>127737.14648799998</v>
      </c>
      <c r="H118" s="100">
        <v>4943</v>
      </c>
      <c r="I118" s="68">
        <f t="shared" si="36"/>
        <v>122794.14648799998</v>
      </c>
      <c r="J118" s="110">
        <v>2453.2600000000002</v>
      </c>
      <c r="K118" s="148">
        <v>2518.2600000000002</v>
      </c>
      <c r="L118" s="68">
        <f t="shared" ref="L118:L122" si="44">SUM(J118:K118)</f>
        <v>4971.5200000000004</v>
      </c>
      <c r="M118" s="11">
        <f t="shared" ref="M118:M122" si="45">IFERROR(L118/H118,"N/A")</f>
        <v>1.0057697754400163</v>
      </c>
      <c r="N118" s="176">
        <f t="shared" si="37"/>
        <v>127765.66648799999</v>
      </c>
    </row>
    <row r="119" spans="1:14" x14ac:dyDescent="0.2">
      <c r="A119" s="191" t="s">
        <v>161</v>
      </c>
      <c r="B119" s="187" t="s">
        <v>155</v>
      </c>
      <c r="C119" s="101" t="s">
        <v>155</v>
      </c>
      <c r="D119" s="188" t="s">
        <v>155</v>
      </c>
      <c r="E119" s="189"/>
      <c r="F119" s="190"/>
      <c r="G119" s="100">
        <v>65693.389622399991</v>
      </c>
      <c r="H119" s="100">
        <v>2542</v>
      </c>
      <c r="I119" s="68">
        <f t="shared" ref="I119" si="46">G119-H119</f>
        <v>63151.389622399991</v>
      </c>
      <c r="J119" s="110">
        <v>1261.68</v>
      </c>
      <c r="K119" s="148">
        <v>1663.85</v>
      </c>
      <c r="L119" s="68">
        <f t="shared" ref="L119" si="47">SUM(J119:K119)</f>
        <v>2925.5299999999997</v>
      </c>
      <c r="M119" s="11">
        <f t="shared" ref="M119" si="48">IFERROR(L119/H119,"N/A")</f>
        <v>1.1508772619984264</v>
      </c>
      <c r="N119" s="176">
        <f t="shared" si="37"/>
        <v>66076.91962239999</v>
      </c>
    </row>
    <row r="120" spans="1:14" x14ac:dyDescent="0.2">
      <c r="A120" s="191" t="s">
        <v>162</v>
      </c>
      <c r="B120" s="187" t="s">
        <v>155</v>
      </c>
      <c r="C120" s="101" t="s">
        <v>155</v>
      </c>
      <c r="D120" s="188" t="s">
        <v>155</v>
      </c>
      <c r="E120" s="189"/>
      <c r="F120" s="190"/>
      <c r="G120" s="100">
        <v>468977.80924879998</v>
      </c>
      <c r="H120" s="100">
        <v>18150</v>
      </c>
      <c r="I120" s="68">
        <f t="shared" si="36"/>
        <v>450827.80924879998</v>
      </c>
      <c r="J120" s="110">
        <v>9006.9699999999993</v>
      </c>
      <c r="K120" s="148">
        <v>9246.6299999999992</v>
      </c>
      <c r="L120" s="68">
        <f t="shared" si="44"/>
        <v>18253.599999999999</v>
      </c>
      <c r="M120" s="11">
        <f t="shared" si="45"/>
        <v>1.0057079889807161</v>
      </c>
      <c r="N120" s="176">
        <f t="shared" si="37"/>
        <v>469081.40924879996</v>
      </c>
    </row>
    <row r="121" spans="1:14" x14ac:dyDescent="0.2">
      <c r="A121" s="191"/>
      <c r="B121" s="187"/>
      <c r="C121" s="101"/>
      <c r="D121" s="188"/>
      <c r="E121" s="189"/>
      <c r="F121" s="190"/>
      <c r="G121" s="100">
        <v>0</v>
      </c>
      <c r="H121" s="100">
        <v>0</v>
      </c>
      <c r="I121" s="68">
        <f t="shared" si="36"/>
        <v>0</v>
      </c>
      <c r="J121" s="110">
        <v>0</v>
      </c>
      <c r="K121" s="148">
        <v>0</v>
      </c>
      <c r="L121" s="68">
        <f t="shared" si="44"/>
        <v>0</v>
      </c>
      <c r="M121" s="11" t="str">
        <f t="shared" si="45"/>
        <v>N/A</v>
      </c>
      <c r="N121" s="176">
        <f t="shared" si="37"/>
        <v>0</v>
      </c>
    </row>
    <row r="122" spans="1:14" x14ac:dyDescent="0.2">
      <c r="A122" s="192"/>
      <c r="B122" s="187"/>
      <c r="C122" s="102"/>
      <c r="D122" s="193"/>
      <c r="E122" s="194"/>
      <c r="F122" s="190"/>
      <c r="G122" s="100">
        <v>0</v>
      </c>
      <c r="H122" s="100">
        <v>0</v>
      </c>
      <c r="I122" s="68">
        <f t="shared" si="36"/>
        <v>0</v>
      </c>
      <c r="J122" s="110">
        <v>0</v>
      </c>
      <c r="K122" s="148">
        <v>0</v>
      </c>
      <c r="L122" s="68">
        <f t="shared" si="44"/>
        <v>0</v>
      </c>
      <c r="M122" s="11" t="str">
        <f t="shared" si="45"/>
        <v>N/A</v>
      </c>
      <c r="N122" s="176">
        <f t="shared" si="37"/>
        <v>0</v>
      </c>
    </row>
    <row r="123" spans="1:14" ht="13.5" thickBot="1" x14ac:dyDescent="0.25">
      <c r="A123" s="135"/>
      <c r="B123" s="136"/>
      <c r="C123" s="195" t="s">
        <v>163</v>
      </c>
      <c r="D123" s="196"/>
      <c r="E123" s="196"/>
      <c r="F123" s="197"/>
      <c r="G123" s="69">
        <f t="shared" ref="G123:L123" si="49">SUM(G113:G122)</f>
        <v>1687955.1500199998</v>
      </c>
      <c r="H123" s="69">
        <f t="shared" si="49"/>
        <v>65322</v>
      </c>
      <c r="I123" s="69">
        <f t="shared" si="49"/>
        <v>1622633.1500199998</v>
      </c>
      <c r="J123" s="69">
        <f t="shared" si="49"/>
        <v>32060.04</v>
      </c>
      <c r="K123" s="69">
        <f t="shared" si="49"/>
        <v>33277.370000000003</v>
      </c>
      <c r="L123" s="69">
        <f t="shared" si="49"/>
        <v>65337.409999999996</v>
      </c>
      <c r="M123" s="19">
        <f>IFERROR(L123/H123,"N/A")</f>
        <v>1.0002359082698018</v>
      </c>
      <c r="N123" s="70">
        <f>SUM(N113:N122)</f>
        <v>1687970.56002</v>
      </c>
    </row>
    <row r="124" spans="1:14" ht="13.5" thickBot="1" x14ac:dyDescent="0.25"/>
    <row r="125" spans="1:14" s="166" customFormat="1" x14ac:dyDescent="0.2">
      <c r="A125" s="182" t="s">
        <v>164</v>
      </c>
      <c r="B125" s="159"/>
      <c r="C125" s="159"/>
      <c r="D125" s="159"/>
      <c r="E125" s="159"/>
      <c r="F125" s="160"/>
      <c r="G125" s="161"/>
      <c r="H125" s="161"/>
      <c r="I125" s="161"/>
      <c r="J125" s="161"/>
      <c r="K125" s="161"/>
      <c r="L125" s="161"/>
      <c r="M125" s="4"/>
      <c r="N125" s="3"/>
    </row>
    <row r="126" spans="1:14" s="166" customFormat="1" ht="11.25" x14ac:dyDescent="0.2">
      <c r="A126" s="162" t="s">
        <v>165</v>
      </c>
      <c r="B126" s="163"/>
      <c r="C126" s="163"/>
      <c r="D126" s="163"/>
      <c r="E126" s="163"/>
      <c r="F126" s="164"/>
      <c r="G126" s="165"/>
      <c r="H126" s="165"/>
      <c r="I126" s="165"/>
      <c r="J126" s="165"/>
      <c r="K126" s="165"/>
      <c r="L126" s="165"/>
      <c r="M126" s="6"/>
      <c r="N126" s="5"/>
    </row>
    <row r="127" spans="1:14" ht="33.75" x14ac:dyDescent="0.2">
      <c r="A127" s="183" t="s">
        <v>153</v>
      </c>
      <c r="B127" s="184"/>
      <c r="C127" s="185"/>
      <c r="D127" s="185"/>
      <c r="E127" s="185"/>
      <c r="F127" s="185"/>
      <c r="G127" s="169" t="str">
        <f>G$18</f>
        <v>TOTAL
PROGRAM
BUDGET</v>
      </c>
      <c r="H127" s="169" t="str">
        <f t="shared" ref="H127:N127" si="50">H$18</f>
        <v>HSGP GRANT
BUDGET</v>
      </c>
      <c r="I127" s="169" t="str">
        <f t="shared" si="50"/>
        <v>NON-CITY PROGRAM BUDGET</v>
      </c>
      <c r="J127" s="169" t="str">
        <f t="shared" si="50"/>
        <v>HSGP
MID-YEAR EXPEND.</v>
      </c>
      <c r="K127" s="169" t="str">
        <f t="shared" si="50"/>
        <v>HSGP
YEAR-END EXPEND.</v>
      </c>
      <c r="L127" s="169" t="str">
        <f t="shared" si="50"/>
        <v>HSGP TOTAL EXPEND.</v>
      </c>
      <c r="M127" s="18" t="str">
        <f t="shared" si="50"/>
        <v>HSGP PERCENT EXPENDED</v>
      </c>
      <c r="N127" s="93" t="str">
        <f t="shared" si="50"/>
        <v>YEAR-END
 TOTAL PROGRAM EXPEND.</v>
      </c>
    </row>
    <row r="128" spans="1:14" x14ac:dyDescent="0.2">
      <c r="A128" s="198" t="s">
        <v>166</v>
      </c>
      <c r="B128" s="199" t="s">
        <v>155</v>
      </c>
      <c r="C128" s="103" t="s">
        <v>155</v>
      </c>
      <c r="D128" s="200"/>
      <c r="E128" s="201"/>
      <c r="F128" s="190"/>
      <c r="G128" s="99">
        <v>867.99</v>
      </c>
      <c r="H128" s="99">
        <v>0</v>
      </c>
      <c r="I128" s="64">
        <f>G128-H128</f>
        <v>867.99</v>
      </c>
      <c r="J128" s="110">
        <v>0</v>
      </c>
      <c r="K128" s="110">
        <v>0</v>
      </c>
      <c r="L128" s="64">
        <f>SUM(J128:K128)</f>
        <v>0</v>
      </c>
      <c r="M128" s="12" t="str">
        <f>IFERROR(L128/H128,"N/A")</f>
        <v>N/A</v>
      </c>
      <c r="N128" s="176">
        <f t="shared" ref="N128:N135" si="51">I128+L128</f>
        <v>867.99</v>
      </c>
    </row>
    <row r="129" spans="1:14" x14ac:dyDescent="0.2">
      <c r="A129" s="202" t="s">
        <v>167</v>
      </c>
      <c r="B129" s="199" t="s">
        <v>155</v>
      </c>
      <c r="C129" s="103" t="s">
        <v>155</v>
      </c>
      <c r="D129" s="200"/>
      <c r="E129" s="201"/>
      <c r="F129" s="190"/>
      <c r="G129" s="100">
        <v>777.6</v>
      </c>
      <c r="H129" s="100">
        <v>0</v>
      </c>
      <c r="I129" s="71">
        <f t="shared" ref="I129" si="52">G129-H129</f>
        <v>777.6</v>
      </c>
      <c r="J129" s="203">
        <v>0</v>
      </c>
      <c r="K129" s="203">
        <v>0</v>
      </c>
      <c r="L129" s="68">
        <f t="shared" ref="L129" si="53">SUM(J129:K129)</f>
        <v>0</v>
      </c>
      <c r="M129" s="11" t="str">
        <f t="shared" ref="M129" si="54">IFERROR(L129/H129,"N/A")</f>
        <v>N/A</v>
      </c>
      <c r="N129" s="176">
        <f t="shared" si="51"/>
        <v>777.6</v>
      </c>
    </row>
    <row r="130" spans="1:14" x14ac:dyDescent="0.2">
      <c r="A130" s="202" t="s">
        <v>168</v>
      </c>
      <c r="B130" s="199"/>
      <c r="C130" s="103" t="s">
        <v>155</v>
      </c>
      <c r="D130" s="200"/>
      <c r="E130" s="201"/>
      <c r="F130" s="190"/>
      <c r="G130" s="100">
        <v>590.57000000000005</v>
      </c>
      <c r="H130" s="100">
        <v>0</v>
      </c>
      <c r="I130" s="71">
        <f t="shared" ref="I130:I131" si="55">G130-H130</f>
        <v>590.57000000000005</v>
      </c>
      <c r="J130" s="203">
        <v>0</v>
      </c>
      <c r="K130" s="203">
        <v>0</v>
      </c>
      <c r="L130" s="68">
        <f t="shared" ref="L130:L131" si="56">SUM(J130:K130)</f>
        <v>0</v>
      </c>
      <c r="M130" s="11" t="str">
        <f t="shared" ref="M130:M131" si="57">IFERROR(L130/H130,"N/A")</f>
        <v>N/A</v>
      </c>
      <c r="N130" s="176">
        <f t="shared" si="51"/>
        <v>590.57000000000005</v>
      </c>
    </row>
    <row r="131" spans="1:14" x14ac:dyDescent="0.2">
      <c r="A131" s="202" t="s">
        <v>169</v>
      </c>
      <c r="B131" s="199" t="s">
        <v>155</v>
      </c>
      <c r="C131" s="103" t="s">
        <v>155</v>
      </c>
      <c r="D131" s="200" t="s">
        <v>155</v>
      </c>
      <c r="E131" s="201" t="s">
        <v>155</v>
      </c>
      <c r="F131" s="190"/>
      <c r="G131" s="100">
        <v>1296</v>
      </c>
      <c r="H131" s="100">
        <v>0</v>
      </c>
      <c r="I131" s="71">
        <f t="shared" si="55"/>
        <v>1296</v>
      </c>
      <c r="J131" s="203">
        <v>0</v>
      </c>
      <c r="K131" s="203">
        <v>0</v>
      </c>
      <c r="L131" s="68">
        <f t="shared" si="56"/>
        <v>0</v>
      </c>
      <c r="M131" s="11" t="str">
        <f t="shared" si="57"/>
        <v>N/A</v>
      </c>
      <c r="N131" s="176">
        <f t="shared" si="51"/>
        <v>1296</v>
      </c>
    </row>
    <row r="132" spans="1:14" x14ac:dyDescent="0.2">
      <c r="A132" s="202" t="s">
        <v>170</v>
      </c>
      <c r="B132" s="199" t="s">
        <v>155</v>
      </c>
      <c r="C132" s="103" t="s">
        <v>155</v>
      </c>
      <c r="D132" s="200" t="s">
        <v>155</v>
      </c>
      <c r="E132" s="201" t="s">
        <v>155</v>
      </c>
      <c r="F132" s="190"/>
      <c r="G132" s="100">
        <v>1329.64</v>
      </c>
      <c r="H132" s="100">
        <v>0</v>
      </c>
      <c r="I132" s="71">
        <f t="shared" ref="I132" si="58">G132-H132</f>
        <v>1329.64</v>
      </c>
      <c r="J132" s="203">
        <v>0</v>
      </c>
      <c r="K132" s="203">
        <v>0</v>
      </c>
      <c r="L132" s="68">
        <f t="shared" ref="L132" si="59">SUM(J132:K132)</f>
        <v>0</v>
      </c>
      <c r="M132" s="11" t="str">
        <f t="shared" ref="M132" si="60">IFERROR(L132/H132,"N/A")</f>
        <v>N/A</v>
      </c>
      <c r="N132" s="176">
        <f t="shared" si="51"/>
        <v>1329.64</v>
      </c>
    </row>
    <row r="133" spans="1:14" x14ac:dyDescent="0.2">
      <c r="A133" s="202" t="s">
        <v>171</v>
      </c>
      <c r="B133" s="199" t="s">
        <v>155</v>
      </c>
      <c r="C133" s="103" t="s">
        <v>155</v>
      </c>
      <c r="D133" s="200" t="s">
        <v>155</v>
      </c>
      <c r="E133" s="201" t="s">
        <v>155</v>
      </c>
      <c r="F133" s="190"/>
      <c r="G133" s="100">
        <v>761.63</v>
      </c>
      <c r="H133" s="100">
        <v>0</v>
      </c>
      <c r="I133" s="71">
        <f t="shared" ref="I133" si="61">G133-H133</f>
        <v>761.63</v>
      </c>
      <c r="J133" s="203">
        <v>0</v>
      </c>
      <c r="K133" s="203">
        <v>0</v>
      </c>
      <c r="L133" s="68">
        <f t="shared" ref="L133" si="62">SUM(J133:K133)</f>
        <v>0</v>
      </c>
      <c r="M133" s="11" t="str">
        <f t="shared" ref="M133" si="63">IFERROR(L133/H133,"N/A")</f>
        <v>N/A</v>
      </c>
      <c r="N133" s="176">
        <f t="shared" si="51"/>
        <v>761.63</v>
      </c>
    </row>
    <row r="134" spans="1:14" x14ac:dyDescent="0.2">
      <c r="A134" s="202"/>
      <c r="B134" s="199"/>
      <c r="C134" s="103"/>
      <c r="D134" s="200"/>
      <c r="E134" s="201"/>
      <c r="F134" s="190"/>
      <c r="G134" s="100">
        <v>0</v>
      </c>
      <c r="H134" s="100">
        <v>0</v>
      </c>
      <c r="I134" s="71">
        <f t="shared" ref="I134:I135" si="64">G134-H134</f>
        <v>0</v>
      </c>
      <c r="J134" s="203">
        <v>0</v>
      </c>
      <c r="K134" s="203">
        <v>0</v>
      </c>
      <c r="L134" s="68">
        <f t="shared" ref="L134:L135" si="65">SUM(J134:K134)</f>
        <v>0</v>
      </c>
      <c r="M134" s="11" t="str">
        <f t="shared" ref="M134:M135" si="66">IFERROR(L134/H134,"N/A")</f>
        <v>N/A</v>
      </c>
      <c r="N134" s="176">
        <f t="shared" si="51"/>
        <v>0</v>
      </c>
    </row>
    <row r="135" spans="1:14" x14ac:dyDescent="0.2">
      <c r="A135" s="202"/>
      <c r="B135" s="199"/>
      <c r="C135" s="103"/>
      <c r="D135" s="200"/>
      <c r="E135" s="201"/>
      <c r="F135" s="190"/>
      <c r="G135" s="100">
        <v>0</v>
      </c>
      <c r="H135" s="100">
        <v>0</v>
      </c>
      <c r="I135" s="71">
        <f t="shared" si="64"/>
        <v>0</v>
      </c>
      <c r="J135" s="203">
        <v>0</v>
      </c>
      <c r="K135" s="203">
        <v>0</v>
      </c>
      <c r="L135" s="68">
        <f t="shared" si="65"/>
        <v>0</v>
      </c>
      <c r="M135" s="11" t="str">
        <f t="shared" si="66"/>
        <v>N/A</v>
      </c>
      <c r="N135" s="176">
        <f t="shared" si="51"/>
        <v>0</v>
      </c>
    </row>
    <row r="136" spans="1:14" ht="13.5" thickBot="1" x14ac:dyDescent="0.25">
      <c r="A136" s="135"/>
      <c r="B136" s="136"/>
      <c r="C136" s="195" t="s">
        <v>172</v>
      </c>
      <c r="D136" s="196"/>
      <c r="E136" s="196"/>
      <c r="F136" s="197"/>
      <c r="G136" s="69">
        <f t="shared" ref="G136:L136" si="67">SUM(G128:G135)</f>
        <v>5623.43</v>
      </c>
      <c r="H136" s="69">
        <f t="shared" si="67"/>
        <v>0</v>
      </c>
      <c r="I136" s="69">
        <f t="shared" si="67"/>
        <v>5623.43</v>
      </c>
      <c r="J136" s="69">
        <f t="shared" si="67"/>
        <v>0</v>
      </c>
      <c r="K136" s="69">
        <f t="shared" si="67"/>
        <v>0</v>
      </c>
      <c r="L136" s="69">
        <f t="shared" si="67"/>
        <v>0</v>
      </c>
      <c r="M136" s="19" t="str">
        <f>IFERROR(L136/H136,"N/A")</f>
        <v>N/A</v>
      </c>
      <c r="N136" s="70">
        <f>SUM(N128:N135)</f>
        <v>5623.43</v>
      </c>
    </row>
    <row r="137" spans="1:14" ht="13.5" thickBot="1" x14ac:dyDescent="0.25"/>
    <row r="138" spans="1:14" s="166" customFormat="1" x14ac:dyDescent="0.2">
      <c r="A138" s="158" t="s">
        <v>173</v>
      </c>
      <c r="B138" s="159"/>
      <c r="C138" s="159"/>
      <c r="D138" s="159"/>
      <c r="E138" s="159"/>
      <c r="F138" s="160"/>
      <c r="G138" s="161"/>
      <c r="H138" s="161"/>
      <c r="I138" s="161"/>
      <c r="J138" s="161"/>
      <c r="K138" s="161"/>
      <c r="L138" s="161"/>
      <c r="M138" s="4"/>
      <c r="N138" s="3"/>
    </row>
    <row r="139" spans="1:14" x14ac:dyDescent="0.2">
      <c r="A139" s="162" t="s">
        <v>174</v>
      </c>
      <c r="B139" s="163"/>
      <c r="C139" s="163"/>
      <c r="D139" s="163"/>
      <c r="E139" s="163"/>
      <c r="F139" s="164"/>
      <c r="G139" s="165"/>
      <c r="H139" s="165"/>
      <c r="I139" s="165"/>
      <c r="J139" s="165"/>
      <c r="K139" s="165"/>
      <c r="L139" s="165"/>
      <c r="M139" s="6"/>
      <c r="N139" s="5"/>
    </row>
    <row r="140" spans="1:14" ht="33.75" x14ac:dyDescent="0.2">
      <c r="A140" s="183" t="s">
        <v>153</v>
      </c>
      <c r="B140" s="184"/>
      <c r="C140" s="185"/>
      <c r="D140" s="185"/>
      <c r="E140" s="185"/>
      <c r="F140" s="185"/>
      <c r="G140" s="169" t="str">
        <f>G$18</f>
        <v>TOTAL
PROGRAM
BUDGET</v>
      </c>
      <c r="H140" s="169" t="str">
        <f t="shared" ref="H140:N140" si="68">H$18</f>
        <v>HSGP GRANT
BUDGET</v>
      </c>
      <c r="I140" s="169" t="str">
        <f t="shared" si="68"/>
        <v>NON-CITY PROGRAM BUDGET</v>
      </c>
      <c r="J140" s="169" t="str">
        <f t="shared" si="68"/>
        <v>HSGP
MID-YEAR EXPEND.</v>
      </c>
      <c r="K140" s="169" t="str">
        <f t="shared" si="68"/>
        <v>HSGP
YEAR-END EXPEND.</v>
      </c>
      <c r="L140" s="169" t="str">
        <f t="shared" si="68"/>
        <v>HSGP TOTAL EXPEND.</v>
      </c>
      <c r="M140" s="18" t="str">
        <f t="shared" si="68"/>
        <v>HSGP PERCENT EXPENDED</v>
      </c>
      <c r="N140" s="93" t="str">
        <f t="shared" si="68"/>
        <v>YEAR-END
 TOTAL PROGRAM EXPEND.</v>
      </c>
    </row>
    <row r="141" spans="1:14" x14ac:dyDescent="0.2">
      <c r="A141" s="198" t="s">
        <v>175</v>
      </c>
      <c r="B141" s="199" t="s">
        <v>155</v>
      </c>
      <c r="C141" s="103" t="s">
        <v>155</v>
      </c>
      <c r="D141" s="200" t="s">
        <v>155</v>
      </c>
      <c r="E141" s="201" t="s">
        <v>155</v>
      </c>
      <c r="F141" s="190"/>
      <c r="G141" s="100">
        <v>18967.2</v>
      </c>
      <c r="H141" s="99">
        <v>0</v>
      </c>
      <c r="I141" s="64">
        <f t="shared" ref="I141:I158" si="69">G141-H141</f>
        <v>18967.2</v>
      </c>
      <c r="J141" s="110">
        <v>0</v>
      </c>
      <c r="K141" s="110">
        <v>0</v>
      </c>
      <c r="L141" s="64">
        <f>SUM(J141:K141)</f>
        <v>0</v>
      </c>
      <c r="M141" s="12" t="str">
        <f>IFERROR(L141/H141,"N/A")</f>
        <v>N/A</v>
      </c>
      <c r="N141" s="176">
        <f t="shared" ref="N141:N158" si="70">I141+L141</f>
        <v>18967.2</v>
      </c>
    </row>
    <row r="142" spans="1:14" x14ac:dyDescent="0.2">
      <c r="A142" s="202" t="s">
        <v>176</v>
      </c>
      <c r="B142" s="199"/>
      <c r="C142" s="103" t="s">
        <v>155</v>
      </c>
      <c r="D142" s="200" t="s">
        <v>155</v>
      </c>
      <c r="E142" s="201" t="s">
        <v>155</v>
      </c>
      <c r="F142" s="190"/>
      <c r="G142" s="100">
        <v>19790.88</v>
      </c>
      <c r="H142" s="99">
        <v>0</v>
      </c>
      <c r="I142" s="68">
        <f t="shared" si="69"/>
        <v>19790.88</v>
      </c>
      <c r="J142" s="110">
        <v>0</v>
      </c>
      <c r="K142" s="148">
        <v>0</v>
      </c>
      <c r="L142" s="68">
        <f>SUM(J142:K142)</f>
        <v>0</v>
      </c>
      <c r="M142" s="11" t="str">
        <f>IFERROR(L142/H142,"N/A")</f>
        <v>N/A</v>
      </c>
      <c r="N142" s="176">
        <f t="shared" si="70"/>
        <v>19790.88</v>
      </c>
    </row>
    <row r="143" spans="1:14" x14ac:dyDescent="0.2">
      <c r="A143" s="202" t="s">
        <v>177</v>
      </c>
      <c r="B143" s="199" t="s">
        <v>155</v>
      </c>
      <c r="C143" s="103" t="s">
        <v>155</v>
      </c>
      <c r="D143" s="200" t="s">
        <v>155</v>
      </c>
      <c r="E143" s="201" t="s">
        <v>155</v>
      </c>
      <c r="F143" s="190"/>
      <c r="G143" s="100">
        <v>3694.56</v>
      </c>
      <c r="H143" s="99">
        <v>0</v>
      </c>
      <c r="I143" s="64">
        <f t="shared" ref="I143:I150" si="71">G143-H143</f>
        <v>3694.56</v>
      </c>
      <c r="J143" s="110">
        <v>0</v>
      </c>
      <c r="K143" s="110">
        <v>0</v>
      </c>
      <c r="L143" s="64">
        <f t="shared" ref="L143:L146" si="72">SUM(J143:K143)</f>
        <v>0</v>
      </c>
      <c r="M143" s="12" t="str">
        <f t="shared" ref="M143:M146" si="73">IFERROR(L143/H143,"N/A")</f>
        <v>N/A</v>
      </c>
      <c r="N143" s="176">
        <f t="shared" si="70"/>
        <v>3694.56</v>
      </c>
    </row>
    <row r="144" spans="1:14" x14ac:dyDescent="0.2">
      <c r="A144" s="202" t="s">
        <v>178</v>
      </c>
      <c r="B144" s="199" t="s">
        <v>155</v>
      </c>
      <c r="C144" s="103" t="s">
        <v>155</v>
      </c>
      <c r="D144" s="200" t="s">
        <v>155</v>
      </c>
      <c r="E144" s="201" t="s">
        <v>155</v>
      </c>
      <c r="F144" s="190"/>
      <c r="G144" s="100">
        <v>12000</v>
      </c>
      <c r="H144" s="99">
        <v>0</v>
      </c>
      <c r="I144" s="64">
        <f t="shared" si="71"/>
        <v>12000</v>
      </c>
      <c r="J144" s="110">
        <v>0</v>
      </c>
      <c r="K144" s="110">
        <v>0</v>
      </c>
      <c r="L144" s="64">
        <f t="shared" si="72"/>
        <v>0</v>
      </c>
      <c r="M144" s="12" t="str">
        <f t="shared" si="73"/>
        <v>N/A</v>
      </c>
      <c r="N144" s="176">
        <f t="shared" si="70"/>
        <v>12000</v>
      </c>
    </row>
    <row r="145" spans="1:14" x14ac:dyDescent="0.2">
      <c r="A145" s="202" t="s">
        <v>179</v>
      </c>
      <c r="B145" s="199"/>
      <c r="C145" s="103" t="s">
        <v>155</v>
      </c>
      <c r="D145" s="200" t="s">
        <v>155</v>
      </c>
      <c r="E145" s="201" t="s">
        <v>155</v>
      </c>
      <c r="F145" s="190"/>
      <c r="G145" s="100">
        <v>900</v>
      </c>
      <c r="H145" s="99">
        <v>0</v>
      </c>
      <c r="I145" s="64">
        <f t="shared" si="71"/>
        <v>900</v>
      </c>
      <c r="J145" s="110">
        <v>0</v>
      </c>
      <c r="K145" s="110">
        <v>0</v>
      </c>
      <c r="L145" s="64">
        <f t="shared" si="72"/>
        <v>0</v>
      </c>
      <c r="M145" s="12" t="str">
        <f t="shared" si="73"/>
        <v>N/A</v>
      </c>
      <c r="N145" s="176">
        <f t="shared" si="70"/>
        <v>900</v>
      </c>
    </row>
    <row r="146" spans="1:14" x14ac:dyDescent="0.2">
      <c r="A146" s="202" t="s">
        <v>180</v>
      </c>
      <c r="B146" s="199" t="s">
        <v>155</v>
      </c>
      <c r="C146" s="103" t="s">
        <v>155</v>
      </c>
      <c r="D146" s="200" t="s">
        <v>155</v>
      </c>
      <c r="E146" s="201" t="s">
        <v>155</v>
      </c>
      <c r="F146" s="190"/>
      <c r="G146" s="100">
        <v>3398.04</v>
      </c>
      <c r="H146" s="100">
        <v>0</v>
      </c>
      <c r="I146" s="71">
        <f t="shared" si="71"/>
        <v>3398.04</v>
      </c>
      <c r="J146" s="203">
        <v>0</v>
      </c>
      <c r="K146" s="203">
        <v>0</v>
      </c>
      <c r="L146" s="68">
        <f t="shared" si="72"/>
        <v>0</v>
      </c>
      <c r="M146" s="11" t="str">
        <f t="shared" si="73"/>
        <v>N/A</v>
      </c>
      <c r="N146" s="176">
        <f t="shared" si="70"/>
        <v>3398.04</v>
      </c>
    </row>
    <row r="147" spans="1:14" x14ac:dyDescent="0.2">
      <c r="A147" s="202" t="s">
        <v>181</v>
      </c>
      <c r="B147" s="199" t="s">
        <v>155</v>
      </c>
      <c r="C147" s="103" t="s">
        <v>155</v>
      </c>
      <c r="D147" s="200" t="s">
        <v>155</v>
      </c>
      <c r="E147" s="201" t="s">
        <v>155</v>
      </c>
      <c r="F147" s="190"/>
      <c r="G147" s="100">
        <v>5404.92</v>
      </c>
      <c r="H147" s="100">
        <v>0</v>
      </c>
      <c r="I147" s="68">
        <f t="shared" si="71"/>
        <v>5404.92</v>
      </c>
      <c r="J147" s="110">
        <v>0</v>
      </c>
      <c r="K147" s="148">
        <v>0</v>
      </c>
      <c r="L147" s="68">
        <f>SUM(J147:K147)</f>
        <v>0</v>
      </c>
      <c r="M147" s="11" t="str">
        <f>IFERROR(L147/H147,"N/A")</f>
        <v>N/A</v>
      </c>
      <c r="N147" s="176">
        <f t="shared" si="70"/>
        <v>5404.92</v>
      </c>
    </row>
    <row r="148" spans="1:14" x14ac:dyDescent="0.2">
      <c r="A148" s="202" t="s">
        <v>182</v>
      </c>
      <c r="B148" s="199"/>
      <c r="C148" s="103" t="s">
        <v>155</v>
      </c>
      <c r="D148" s="200" t="s">
        <v>155</v>
      </c>
      <c r="E148" s="201" t="s">
        <v>155</v>
      </c>
      <c r="F148" s="190"/>
      <c r="G148" s="100">
        <v>1990.8</v>
      </c>
      <c r="H148" s="100">
        <v>0</v>
      </c>
      <c r="I148" s="64">
        <f t="shared" si="71"/>
        <v>1990.8</v>
      </c>
      <c r="J148" s="110">
        <v>0</v>
      </c>
      <c r="K148" s="110">
        <v>0</v>
      </c>
      <c r="L148" s="64">
        <f t="shared" ref="L148" si="74">SUM(J148:K148)</f>
        <v>0</v>
      </c>
      <c r="M148" s="12" t="str">
        <f t="shared" ref="M148" si="75">IFERROR(L148/H148,"N/A")</f>
        <v>N/A</v>
      </c>
      <c r="N148" s="176">
        <f t="shared" si="70"/>
        <v>1990.8</v>
      </c>
    </row>
    <row r="149" spans="1:14" x14ac:dyDescent="0.2">
      <c r="A149" s="202" t="s">
        <v>183</v>
      </c>
      <c r="B149" s="199"/>
      <c r="C149" s="103" t="s">
        <v>155</v>
      </c>
      <c r="D149" s="200" t="s">
        <v>155</v>
      </c>
      <c r="E149" s="201" t="s">
        <v>155</v>
      </c>
      <c r="F149" s="190"/>
      <c r="G149" s="100">
        <v>12987.84</v>
      </c>
      <c r="H149" s="99">
        <v>0</v>
      </c>
      <c r="I149" s="68">
        <f t="shared" si="71"/>
        <v>12987.84</v>
      </c>
      <c r="J149" s="110">
        <v>0</v>
      </c>
      <c r="K149" s="148">
        <v>0</v>
      </c>
      <c r="L149" s="68">
        <f>SUM(J149:K149)</f>
        <v>0</v>
      </c>
      <c r="M149" s="11" t="str">
        <f>IFERROR(L149/H149,"N/A")</f>
        <v>N/A</v>
      </c>
      <c r="N149" s="176">
        <f t="shared" si="70"/>
        <v>12987.84</v>
      </c>
    </row>
    <row r="150" spans="1:14" x14ac:dyDescent="0.2">
      <c r="A150" s="202" t="s">
        <v>184</v>
      </c>
      <c r="B150" s="199"/>
      <c r="C150" s="103" t="s">
        <v>155</v>
      </c>
      <c r="D150" s="200" t="s">
        <v>155</v>
      </c>
      <c r="E150" s="201" t="s">
        <v>155</v>
      </c>
      <c r="F150" s="190"/>
      <c r="G150" s="100">
        <v>22819.56</v>
      </c>
      <c r="H150" s="99">
        <v>0</v>
      </c>
      <c r="I150" s="64">
        <f t="shared" si="71"/>
        <v>22819.56</v>
      </c>
      <c r="J150" s="110">
        <v>0</v>
      </c>
      <c r="K150" s="110">
        <v>0</v>
      </c>
      <c r="L150" s="64">
        <f t="shared" ref="L150" si="76">SUM(J150:K150)</f>
        <v>0</v>
      </c>
      <c r="M150" s="12" t="str">
        <f t="shared" ref="M150" si="77">IFERROR(L150/H150,"N/A")</f>
        <v>N/A</v>
      </c>
      <c r="N150" s="176">
        <f t="shared" si="70"/>
        <v>22819.56</v>
      </c>
    </row>
    <row r="151" spans="1:14" x14ac:dyDescent="0.2">
      <c r="A151" s="202" t="s">
        <v>185</v>
      </c>
      <c r="B151" s="199" t="s">
        <v>155</v>
      </c>
      <c r="C151" s="103" t="s">
        <v>155</v>
      </c>
      <c r="D151" s="200" t="s">
        <v>155</v>
      </c>
      <c r="E151" s="201" t="s">
        <v>155</v>
      </c>
      <c r="F151" s="190"/>
      <c r="G151" s="100">
        <v>19541.16</v>
      </c>
      <c r="H151" s="99">
        <v>0</v>
      </c>
      <c r="I151" s="64">
        <f t="shared" si="69"/>
        <v>19541.16</v>
      </c>
      <c r="J151" s="110">
        <v>0</v>
      </c>
      <c r="K151" s="110">
        <v>0</v>
      </c>
      <c r="L151" s="64">
        <f t="shared" ref="L151:L154" si="78">SUM(J151:K151)</f>
        <v>0</v>
      </c>
      <c r="M151" s="12" t="str">
        <f t="shared" ref="M151:M154" si="79">IFERROR(L151/H151,"N/A")</f>
        <v>N/A</v>
      </c>
      <c r="N151" s="176">
        <f t="shared" si="70"/>
        <v>19541.16</v>
      </c>
    </row>
    <row r="152" spans="1:14" x14ac:dyDescent="0.2">
      <c r="A152" s="202" t="s">
        <v>186</v>
      </c>
      <c r="B152" s="199" t="s">
        <v>155</v>
      </c>
      <c r="C152" s="103" t="s">
        <v>155</v>
      </c>
      <c r="D152" s="200" t="s">
        <v>155</v>
      </c>
      <c r="E152" s="201" t="s">
        <v>155</v>
      </c>
      <c r="F152" s="190"/>
      <c r="G152" s="100">
        <v>9900.36</v>
      </c>
      <c r="H152" s="99">
        <v>0</v>
      </c>
      <c r="I152" s="64">
        <f t="shared" si="69"/>
        <v>9900.36</v>
      </c>
      <c r="J152" s="110">
        <v>0</v>
      </c>
      <c r="K152" s="110">
        <v>0</v>
      </c>
      <c r="L152" s="64">
        <f t="shared" si="78"/>
        <v>0</v>
      </c>
      <c r="M152" s="12" t="str">
        <f t="shared" si="79"/>
        <v>N/A</v>
      </c>
      <c r="N152" s="176">
        <f t="shared" si="70"/>
        <v>9900.36</v>
      </c>
    </row>
    <row r="153" spans="1:14" x14ac:dyDescent="0.2">
      <c r="A153" s="202" t="s">
        <v>187</v>
      </c>
      <c r="B153" s="199" t="s">
        <v>155</v>
      </c>
      <c r="C153" s="103" t="s">
        <v>155</v>
      </c>
      <c r="D153" s="200" t="s">
        <v>155</v>
      </c>
      <c r="E153" s="201" t="s">
        <v>155</v>
      </c>
      <c r="F153" s="190"/>
      <c r="G153" s="100">
        <v>6730.68</v>
      </c>
      <c r="H153" s="99">
        <v>0</v>
      </c>
      <c r="I153" s="64">
        <f t="shared" si="69"/>
        <v>6730.68</v>
      </c>
      <c r="J153" s="110">
        <v>0</v>
      </c>
      <c r="K153" s="110">
        <v>0</v>
      </c>
      <c r="L153" s="64">
        <f t="shared" si="78"/>
        <v>0</v>
      </c>
      <c r="M153" s="12" t="str">
        <f t="shared" si="79"/>
        <v>N/A</v>
      </c>
      <c r="N153" s="176">
        <f t="shared" si="70"/>
        <v>6730.68</v>
      </c>
    </row>
    <row r="154" spans="1:14" x14ac:dyDescent="0.2">
      <c r="A154" s="202" t="s">
        <v>188</v>
      </c>
      <c r="B154" s="199" t="s">
        <v>155</v>
      </c>
      <c r="C154" s="103" t="s">
        <v>155</v>
      </c>
      <c r="D154" s="200" t="s">
        <v>155</v>
      </c>
      <c r="E154" s="201" t="s">
        <v>155</v>
      </c>
      <c r="F154" s="190"/>
      <c r="G154" s="100">
        <v>12445.68</v>
      </c>
      <c r="H154" s="100">
        <v>0</v>
      </c>
      <c r="I154" s="71">
        <f t="shared" si="69"/>
        <v>12445.68</v>
      </c>
      <c r="J154" s="203">
        <v>0</v>
      </c>
      <c r="K154" s="203">
        <v>0</v>
      </c>
      <c r="L154" s="68">
        <f t="shared" si="78"/>
        <v>0</v>
      </c>
      <c r="M154" s="11" t="str">
        <f t="shared" si="79"/>
        <v>N/A</v>
      </c>
      <c r="N154" s="176">
        <f t="shared" si="70"/>
        <v>12445.68</v>
      </c>
    </row>
    <row r="155" spans="1:14" x14ac:dyDescent="0.2">
      <c r="A155" s="202" t="s">
        <v>189</v>
      </c>
      <c r="B155" s="199" t="s">
        <v>155</v>
      </c>
      <c r="C155" s="103" t="s">
        <v>155</v>
      </c>
      <c r="D155" s="200" t="s">
        <v>155</v>
      </c>
      <c r="E155" s="201" t="s">
        <v>155</v>
      </c>
      <c r="F155" s="190"/>
      <c r="G155" s="100">
        <v>1841.88</v>
      </c>
      <c r="H155" s="100">
        <v>0</v>
      </c>
      <c r="I155" s="68">
        <f t="shared" si="69"/>
        <v>1841.88</v>
      </c>
      <c r="J155" s="110">
        <v>0</v>
      </c>
      <c r="K155" s="148">
        <v>0</v>
      </c>
      <c r="L155" s="68">
        <f>SUM(J155:K155)</f>
        <v>0</v>
      </c>
      <c r="M155" s="11" t="str">
        <f>IFERROR(L155/H155,"N/A")</f>
        <v>N/A</v>
      </c>
      <c r="N155" s="176">
        <f t="shared" si="70"/>
        <v>1841.88</v>
      </c>
    </row>
    <row r="156" spans="1:14" x14ac:dyDescent="0.2">
      <c r="A156" s="202" t="s">
        <v>190</v>
      </c>
      <c r="B156" s="199"/>
      <c r="C156" s="103"/>
      <c r="D156" s="200"/>
      <c r="E156" s="201"/>
      <c r="F156" s="190"/>
      <c r="G156" s="100">
        <v>9776</v>
      </c>
      <c r="H156" s="100">
        <v>4675</v>
      </c>
      <c r="I156" s="64">
        <f t="shared" si="69"/>
        <v>5101</v>
      </c>
      <c r="J156" s="110">
        <v>2436</v>
      </c>
      <c r="K156" s="110">
        <v>1274.49</v>
      </c>
      <c r="L156" s="64">
        <f t="shared" ref="L156" si="80">SUM(J156:K156)</f>
        <v>3710.49</v>
      </c>
      <c r="M156" s="12">
        <f t="shared" ref="M156" si="81">IFERROR(L156/H156,"N/A")</f>
        <v>0.79368770053475934</v>
      </c>
      <c r="N156" s="176">
        <f t="shared" si="70"/>
        <v>8811.49</v>
      </c>
    </row>
    <row r="157" spans="1:14" x14ac:dyDescent="0.2">
      <c r="A157" s="202"/>
      <c r="B157" s="199"/>
      <c r="C157" s="103"/>
      <c r="D157" s="200"/>
      <c r="E157" s="201"/>
      <c r="F157" s="190"/>
      <c r="G157" s="100">
        <v>0</v>
      </c>
      <c r="H157" s="99">
        <v>0</v>
      </c>
      <c r="I157" s="64">
        <f t="shared" si="69"/>
        <v>0</v>
      </c>
      <c r="J157" s="110">
        <v>0</v>
      </c>
      <c r="K157" s="110">
        <v>0</v>
      </c>
      <c r="L157" s="64">
        <f t="shared" ref="L157:L158" si="82">SUM(J157:K157)</f>
        <v>0</v>
      </c>
      <c r="M157" s="12" t="str">
        <f t="shared" ref="M157:M158" si="83">IFERROR(L157/H157,"N/A")</f>
        <v>N/A</v>
      </c>
      <c r="N157" s="176">
        <f t="shared" si="70"/>
        <v>0</v>
      </c>
    </row>
    <row r="158" spans="1:14" x14ac:dyDescent="0.2">
      <c r="A158" s="202"/>
      <c r="B158" s="199"/>
      <c r="C158" s="103"/>
      <c r="D158" s="200"/>
      <c r="E158" s="201"/>
      <c r="F158" s="190"/>
      <c r="G158" s="100">
        <v>0</v>
      </c>
      <c r="H158" s="99">
        <v>0</v>
      </c>
      <c r="I158" s="68">
        <f t="shared" si="69"/>
        <v>0</v>
      </c>
      <c r="J158" s="110">
        <v>0</v>
      </c>
      <c r="K158" s="148">
        <v>0</v>
      </c>
      <c r="L158" s="68">
        <f t="shared" si="82"/>
        <v>0</v>
      </c>
      <c r="M158" s="11" t="str">
        <f t="shared" si="83"/>
        <v>N/A</v>
      </c>
      <c r="N158" s="176">
        <f t="shared" si="70"/>
        <v>0</v>
      </c>
    </row>
    <row r="159" spans="1:14" ht="13.5" thickBot="1" x14ac:dyDescent="0.25">
      <c r="A159" s="135"/>
      <c r="B159" s="136"/>
      <c r="C159" s="195" t="s">
        <v>191</v>
      </c>
      <c r="D159" s="196"/>
      <c r="E159" s="196"/>
      <c r="F159" s="197"/>
      <c r="G159" s="69">
        <f t="shared" ref="G159:L159" si="84">SUM(G141:G158)</f>
        <v>162189.56</v>
      </c>
      <c r="H159" s="69">
        <f t="shared" si="84"/>
        <v>4675</v>
      </c>
      <c r="I159" s="69">
        <f t="shared" si="84"/>
        <v>157514.56</v>
      </c>
      <c r="J159" s="69">
        <f t="shared" si="84"/>
        <v>2436</v>
      </c>
      <c r="K159" s="69">
        <f t="shared" si="84"/>
        <v>1274.49</v>
      </c>
      <c r="L159" s="69">
        <f t="shared" si="84"/>
        <v>3710.49</v>
      </c>
      <c r="M159" s="19">
        <f>IFERROR(L159/H159,"N/A")</f>
        <v>0.79368770053475934</v>
      </c>
      <c r="N159" s="70">
        <f>SUM(N141:N158)</f>
        <v>161225.04999999999</v>
      </c>
    </row>
    <row r="160" spans="1:14" ht="13.5" thickBot="1" x14ac:dyDescent="0.25"/>
    <row r="161" spans="1:14" s="166" customFormat="1" x14ac:dyDescent="0.2">
      <c r="A161" s="182" t="s">
        <v>192</v>
      </c>
      <c r="B161" s="159"/>
      <c r="C161" s="159"/>
      <c r="D161" s="159"/>
      <c r="E161" s="159"/>
      <c r="F161" s="160"/>
      <c r="G161" s="161"/>
      <c r="H161" s="161"/>
      <c r="I161" s="161"/>
      <c r="J161" s="161"/>
      <c r="K161" s="161"/>
      <c r="L161" s="161"/>
      <c r="M161" s="4"/>
      <c r="N161" s="3"/>
    </row>
    <row r="162" spans="1:14" x14ac:dyDescent="0.2">
      <c r="A162" s="162" t="s">
        <v>193</v>
      </c>
      <c r="B162" s="163"/>
      <c r="C162" s="163"/>
      <c r="D162" s="163"/>
      <c r="E162" s="163"/>
      <c r="F162" s="164"/>
      <c r="G162" s="165"/>
      <c r="H162" s="165"/>
      <c r="I162" s="165"/>
      <c r="J162" s="165"/>
      <c r="K162" s="165"/>
      <c r="L162" s="165"/>
      <c r="M162" s="6"/>
      <c r="N162" s="5"/>
    </row>
    <row r="163" spans="1:14" ht="33.75" x14ac:dyDescent="0.2">
      <c r="A163" s="183" t="s">
        <v>153</v>
      </c>
      <c r="B163" s="184"/>
      <c r="C163" s="185"/>
      <c r="D163" s="185"/>
      <c r="E163" s="185"/>
      <c r="F163" s="185"/>
      <c r="G163" s="169" t="str">
        <f>G$18</f>
        <v>TOTAL
PROGRAM
BUDGET</v>
      </c>
      <c r="H163" s="169" t="str">
        <f t="shared" ref="H163:N163" si="85">H$18</f>
        <v>HSGP GRANT
BUDGET</v>
      </c>
      <c r="I163" s="169" t="str">
        <f t="shared" si="85"/>
        <v>NON-CITY PROGRAM BUDGET</v>
      </c>
      <c r="J163" s="169" t="str">
        <f t="shared" si="85"/>
        <v>HSGP
MID-YEAR EXPEND.</v>
      </c>
      <c r="K163" s="169" t="str">
        <f t="shared" si="85"/>
        <v>HSGP
YEAR-END EXPEND.</v>
      </c>
      <c r="L163" s="169" t="str">
        <f t="shared" si="85"/>
        <v>HSGP TOTAL EXPEND.</v>
      </c>
      <c r="M163" s="18" t="str">
        <f t="shared" si="85"/>
        <v>HSGP PERCENT EXPENDED</v>
      </c>
      <c r="N163" s="93" t="str">
        <f t="shared" si="85"/>
        <v>YEAR-END
 TOTAL PROGRAM EXPEND.</v>
      </c>
    </row>
    <row r="164" spans="1:14" x14ac:dyDescent="0.2">
      <c r="A164" s="198" t="s">
        <v>194</v>
      </c>
      <c r="B164" s="199"/>
      <c r="C164" s="103"/>
      <c r="D164" s="200"/>
      <c r="E164" s="201"/>
      <c r="F164" s="190"/>
      <c r="G164" s="99">
        <v>720</v>
      </c>
      <c r="H164" s="99">
        <v>0</v>
      </c>
      <c r="I164" s="64">
        <f t="shared" ref="I164" si="86">G164-H164</f>
        <v>720</v>
      </c>
      <c r="J164" s="110">
        <v>0</v>
      </c>
      <c r="K164" s="110">
        <v>0</v>
      </c>
      <c r="L164" s="64">
        <f t="shared" ref="L164" si="87">SUM(J164:K164)</f>
        <v>0</v>
      </c>
      <c r="M164" s="12" t="str">
        <f t="shared" ref="M164" si="88">IFERROR(L164/H164,"N/A")</f>
        <v>N/A</v>
      </c>
      <c r="N164" s="176">
        <f t="shared" ref="N164:N166" si="89">I164+L164</f>
        <v>720</v>
      </c>
    </row>
    <row r="165" spans="1:14" x14ac:dyDescent="0.2">
      <c r="A165" s="202"/>
      <c r="B165" s="199"/>
      <c r="C165" s="103"/>
      <c r="D165" s="200"/>
      <c r="E165" s="201"/>
      <c r="F165" s="190"/>
      <c r="G165" s="99">
        <v>0</v>
      </c>
      <c r="H165" s="99">
        <v>0</v>
      </c>
      <c r="I165" s="64">
        <f t="shared" ref="I165:I166" si="90">G165-H165</f>
        <v>0</v>
      </c>
      <c r="J165" s="110">
        <v>0</v>
      </c>
      <c r="K165" s="110">
        <v>0</v>
      </c>
      <c r="L165" s="64">
        <f t="shared" ref="L165:L166" si="91">SUM(J165:K165)</f>
        <v>0</v>
      </c>
      <c r="M165" s="12" t="str">
        <f t="shared" ref="M165:M166" si="92">IFERROR(L165/H165,"N/A")</f>
        <v>N/A</v>
      </c>
      <c r="N165" s="176">
        <f t="shared" si="89"/>
        <v>0</v>
      </c>
    </row>
    <row r="166" spans="1:14" x14ac:dyDescent="0.2">
      <c r="A166" s="202"/>
      <c r="B166" s="199"/>
      <c r="C166" s="104"/>
      <c r="D166" s="204"/>
      <c r="E166" s="205"/>
      <c r="F166" s="190"/>
      <c r="G166" s="100">
        <v>0</v>
      </c>
      <c r="H166" s="100">
        <v>0</v>
      </c>
      <c r="I166" s="71">
        <f t="shared" si="90"/>
        <v>0</v>
      </c>
      <c r="J166" s="203">
        <v>0</v>
      </c>
      <c r="K166" s="203">
        <v>0</v>
      </c>
      <c r="L166" s="68">
        <f t="shared" si="91"/>
        <v>0</v>
      </c>
      <c r="M166" s="11" t="str">
        <f t="shared" si="92"/>
        <v>N/A</v>
      </c>
      <c r="N166" s="176">
        <f t="shared" si="89"/>
        <v>0</v>
      </c>
    </row>
    <row r="167" spans="1:14" ht="13.5" thickBot="1" x14ac:dyDescent="0.25">
      <c r="A167" s="135"/>
      <c r="B167" s="136"/>
      <c r="C167" s="195" t="s">
        <v>195</v>
      </c>
      <c r="D167" s="196"/>
      <c r="E167" s="196"/>
      <c r="F167" s="197"/>
      <c r="G167" s="69">
        <f t="shared" ref="G167:L167" si="93">SUM(G164:G166)</f>
        <v>720</v>
      </c>
      <c r="H167" s="69">
        <f t="shared" si="93"/>
        <v>0</v>
      </c>
      <c r="I167" s="69">
        <f t="shared" si="93"/>
        <v>720</v>
      </c>
      <c r="J167" s="69">
        <f t="shared" si="93"/>
        <v>0</v>
      </c>
      <c r="K167" s="69">
        <f t="shared" si="93"/>
        <v>0</v>
      </c>
      <c r="L167" s="69">
        <f t="shared" si="93"/>
        <v>0</v>
      </c>
      <c r="M167" s="19" t="str">
        <f>IFERROR(L167/H167,"N/A")</f>
        <v>N/A</v>
      </c>
      <c r="N167" s="70">
        <f>SUM(N164:N166)</f>
        <v>720</v>
      </c>
    </row>
    <row r="168" spans="1:14" ht="13.5" thickBot="1" x14ac:dyDescent="0.25"/>
    <row r="169" spans="1:14" s="166" customFormat="1" x14ac:dyDescent="0.2">
      <c r="A169" s="182" t="s">
        <v>196</v>
      </c>
      <c r="B169" s="159"/>
      <c r="C169" s="159"/>
      <c r="D169" s="159"/>
      <c r="E169" s="159"/>
      <c r="F169" s="160"/>
      <c r="G169" s="161"/>
      <c r="H169" s="161"/>
      <c r="I169" s="161"/>
      <c r="J169" s="161"/>
      <c r="K169" s="161"/>
      <c r="L169" s="161"/>
      <c r="M169" s="4"/>
      <c r="N169" s="3"/>
    </row>
    <row r="170" spans="1:14" x14ac:dyDescent="0.2">
      <c r="A170" s="162" t="s">
        <v>197</v>
      </c>
      <c r="B170" s="163"/>
      <c r="C170" s="163"/>
      <c r="D170" s="163"/>
      <c r="E170" s="163"/>
      <c r="F170" s="164"/>
      <c r="G170" s="165"/>
      <c r="H170" s="165"/>
      <c r="I170" s="165"/>
      <c r="J170" s="165"/>
      <c r="K170" s="165"/>
      <c r="L170" s="165"/>
      <c r="M170" s="6"/>
      <c r="N170" s="5"/>
    </row>
    <row r="171" spans="1:14" ht="33.75" x14ac:dyDescent="0.2">
      <c r="A171" s="183" t="s">
        <v>153</v>
      </c>
      <c r="B171" s="184"/>
      <c r="C171" s="185"/>
      <c r="D171" s="185"/>
      <c r="E171" s="185"/>
      <c r="F171" s="185"/>
      <c r="G171" s="169" t="str">
        <f>G$18</f>
        <v>TOTAL
PROGRAM
BUDGET</v>
      </c>
      <c r="H171" s="169" t="str">
        <f t="shared" ref="H171:N171" si="94">H$18</f>
        <v>HSGP GRANT
BUDGET</v>
      </c>
      <c r="I171" s="169" t="str">
        <f t="shared" si="94"/>
        <v>NON-CITY PROGRAM BUDGET</v>
      </c>
      <c r="J171" s="169" t="str">
        <f t="shared" si="94"/>
        <v>HSGP
MID-YEAR EXPEND.</v>
      </c>
      <c r="K171" s="169" t="str">
        <f t="shared" si="94"/>
        <v>HSGP
YEAR-END EXPEND.</v>
      </c>
      <c r="L171" s="169" t="str">
        <f t="shared" si="94"/>
        <v>HSGP TOTAL EXPEND.</v>
      </c>
      <c r="M171" s="18" t="str">
        <f t="shared" si="94"/>
        <v>HSGP PERCENT EXPENDED</v>
      </c>
      <c r="N171" s="93" t="str">
        <f t="shared" si="94"/>
        <v>YEAR-END
 TOTAL PROGRAM EXPEND.</v>
      </c>
    </row>
    <row r="172" spans="1:14" x14ac:dyDescent="0.2">
      <c r="A172" s="206" t="s">
        <v>198</v>
      </c>
      <c r="B172" s="199" t="s">
        <v>155</v>
      </c>
      <c r="C172" s="103" t="s">
        <v>155</v>
      </c>
      <c r="D172" s="200" t="s">
        <v>155</v>
      </c>
      <c r="E172" s="201" t="s">
        <v>155</v>
      </c>
      <c r="F172" s="190"/>
      <c r="G172" s="99">
        <v>3600</v>
      </c>
      <c r="H172" s="99">
        <v>0</v>
      </c>
      <c r="I172" s="64">
        <f t="shared" ref="I172:I179" si="95">G172-H172</f>
        <v>3600</v>
      </c>
      <c r="J172" s="110">
        <v>0</v>
      </c>
      <c r="K172" s="110">
        <v>0</v>
      </c>
      <c r="L172" s="64">
        <f t="shared" ref="L172:L179" si="96">SUM(J172:K172)</f>
        <v>0</v>
      </c>
      <c r="M172" s="12" t="str">
        <f t="shared" ref="M172:M179" si="97">IFERROR(L172/H172,"N/A")</f>
        <v>N/A</v>
      </c>
      <c r="N172" s="176">
        <f t="shared" ref="N172:N179" si="98">I172+L172</f>
        <v>3600</v>
      </c>
    </row>
    <row r="173" spans="1:14" x14ac:dyDescent="0.2">
      <c r="A173" s="202" t="s">
        <v>199</v>
      </c>
      <c r="B173" s="199" t="s">
        <v>155</v>
      </c>
      <c r="C173" s="103" t="s">
        <v>155</v>
      </c>
      <c r="D173" s="200" t="s">
        <v>155</v>
      </c>
      <c r="E173" s="201" t="s">
        <v>155</v>
      </c>
      <c r="F173" s="190"/>
      <c r="G173" s="99">
        <v>24472.799999999999</v>
      </c>
      <c r="H173" s="99">
        <v>0</v>
      </c>
      <c r="I173" s="64">
        <f t="shared" ref="I173:I174" si="99">G173-H173</f>
        <v>24472.799999999999</v>
      </c>
      <c r="J173" s="110">
        <v>0</v>
      </c>
      <c r="K173" s="110">
        <v>0</v>
      </c>
      <c r="L173" s="64">
        <f t="shared" ref="L173:L174" si="100">SUM(J173:K173)</f>
        <v>0</v>
      </c>
      <c r="M173" s="12" t="str">
        <f t="shared" ref="M173:M174" si="101">IFERROR(L173/H173,"N/A")</f>
        <v>N/A</v>
      </c>
      <c r="N173" s="176">
        <f t="shared" si="98"/>
        <v>24472.799999999999</v>
      </c>
    </row>
    <row r="174" spans="1:14" x14ac:dyDescent="0.2">
      <c r="A174" s="202" t="s">
        <v>200</v>
      </c>
      <c r="B174" s="199" t="s">
        <v>155</v>
      </c>
      <c r="C174" s="103" t="s">
        <v>155</v>
      </c>
      <c r="D174" s="200" t="s">
        <v>155</v>
      </c>
      <c r="E174" s="201" t="s">
        <v>155</v>
      </c>
      <c r="F174" s="190"/>
      <c r="G174" s="99">
        <v>24905.4</v>
      </c>
      <c r="H174" s="99">
        <v>0</v>
      </c>
      <c r="I174" s="64">
        <f t="shared" si="99"/>
        <v>24905.4</v>
      </c>
      <c r="J174" s="110">
        <v>0</v>
      </c>
      <c r="K174" s="110">
        <v>0</v>
      </c>
      <c r="L174" s="64">
        <f t="shared" si="100"/>
        <v>0</v>
      </c>
      <c r="M174" s="12" t="str">
        <f t="shared" si="101"/>
        <v>N/A</v>
      </c>
      <c r="N174" s="176">
        <f t="shared" si="98"/>
        <v>24905.4</v>
      </c>
    </row>
    <row r="175" spans="1:14" x14ac:dyDescent="0.2">
      <c r="A175" s="202" t="s">
        <v>201</v>
      </c>
      <c r="B175" s="199" t="s">
        <v>155</v>
      </c>
      <c r="C175" s="103" t="s">
        <v>155</v>
      </c>
      <c r="D175" s="200" t="s">
        <v>155</v>
      </c>
      <c r="E175" s="201" t="s">
        <v>155</v>
      </c>
      <c r="F175" s="190"/>
      <c r="G175" s="99">
        <v>22124.400000000001</v>
      </c>
      <c r="H175" s="99">
        <v>0</v>
      </c>
      <c r="I175" s="64">
        <f t="shared" si="95"/>
        <v>22124.400000000001</v>
      </c>
      <c r="J175" s="110">
        <v>0</v>
      </c>
      <c r="K175" s="110">
        <v>0</v>
      </c>
      <c r="L175" s="64">
        <f t="shared" si="96"/>
        <v>0</v>
      </c>
      <c r="M175" s="12" t="str">
        <f t="shared" si="97"/>
        <v>N/A</v>
      </c>
      <c r="N175" s="176">
        <f t="shared" si="98"/>
        <v>22124.400000000001</v>
      </c>
    </row>
    <row r="176" spans="1:14" x14ac:dyDescent="0.2">
      <c r="A176" s="202" t="s">
        <v>202</v>
      </c>
      <c r="B176" s="199" t="s">
        <v>155</v>
      </c>
      <c r="C176" s="103" t="s">
        <v>155</v>
      </c>
      <c r="D176" s="200" t="s">
        <v>155</v>
      </c>
      <c r="E176" s="201" t="s">
        <v>155</v>
      </c>
      <c r="F176" s="190"/>
      <c r="G176" s="99">
        <v>2317.56</v>
      </c>
      <c r="H176" s="99">
        <v>0</v>
      </c>
      <c r="I176" s="64">
        <f t="shared" ref="I176" si="102">G176-H176</f>
        <v>2317.56</v>
      </c>
      <c r="J176" s="110">
        <v>0</v>
      </c>
      <c r="K176" s="110">
        <v>0</v>
      </c>
      <c r="L176" s="64">
        <f t="shared" ref="L176" si="103">SUM(J176:K176)</f>
        <v>0</v>
      </c>
      <c r="M176" s="12" t="str">
        <f t="shared" ref="M176" si="104">IFERROR(L176/H176,"N/A")</f>
        <v>N/A</v>
      </c>
      <c r="N176" s="176">
        <f t="shared" si="98"/>
        <v>2317.56</v>
      </c>
    </row>
    <row r="177" spans="1:14" x14ac:dyDescent="0.2">
      <c r="A177" s="202" t="s">
        <v>203</v>
      </c>
      <c r="B177" s="199" t="s">
        <v>155</v>
      </c>
      <c r="C177" s="103" t="s">
        <v>155</v>
      </c>
      <c r="D177" s="200" t="s">
        <v>155</v>
      </c>
      <c r="E177" s="201" t="s">
        <v>155</v>
      </c>
      <c r="F177" s="190"/>
      <c r="G177" s="99">
        <v>2635.68</v>
      </c>
      <c r="H177" s="99">
        <v>0</v>
      </c>
      <c r="I177" s="64">
        <f t="shared" ref="I177" si="105">G177-H177</f>
        <v>2635.68</v>
      </c>
      <c r="J177" s="110">
        <v>0</v>
      </c>
      <c r="K177" s="110">
        <v>0</v>
      </c>
      <c r="L177" s="64">
        <f t="shared" ref="L177" si="106">SUM(J177:K177)</f>
        <v>0</v>
      </c>
      <c r="M177" s="12" t="str">
        <f t="shared" ref="M177" si="107">IFERROR(L177/H177,"N/A")</f>
        <v>N/A</v>
      </c>
      <c r="N177" s="176">
        <f t="shared" si="98"/>
        <v>2635.68</v>
      </c>
    </row>
    <row r="178" spans="1:14" x14ac:dyDescent="0.2">
      <c r="A178" s="202"/>
      <c r="B178" s="199"/>
      <c r="C178" s="103"/>
      <c r="D178" s="200"/>
      <c r="E178" s="201"/>
      <c r="F178" s="190"/>
      <c r="G178" s="99">
        <v>0</v>
      </c>
      <c r="H178" s="99">
        <v>0</v>
      </c>
      <c r="I178" s="64">
        <f t="shared" si="95"/>
        <v>0</v>
      </c>
      <c r="J178" s="110">
        <v>0</v>
      </c>
      <c r="K178" s="110">
        <v>0</v>
      </c>
      <c r="L178" s="64">
        <f t="shared" si="96"/>
        <v>0</v>
      </c>
      <c r="M178" s="12" t="str">
        <f t="shared" si="97"/>
        <v>N/A</v>
      </c>
      <c r="N178" s="176">
        <f t="shared" si="98"/>
        <v>0</v>
      </c>
    </row>
    <row r="179" spans="1:14" x14ac:dyDescent="0.2">
      <c r="A179" s="202"/>
      <c r="B179" s="199"/>
      <c r="C179" s="104"/>
      <c r="D179" s="204"/>
      <c r="E179" s="205"/>
      <c r="F179" s="190"/>
      <c r="G179" s="99">
        <v>0</v>
      </c>
      <c r="H179" s="99">
        <v>0</v>
      </c>
      <c r="I179" s="64">
        <f t="shared" si="95"/>
        <v>0</v>
      </c>
      <c r="J179" s="110">
        <v>0</v>
      </c>
      <c r="K179" s="110">
        <v>0</v>
      </c>
      <c r="L179" s="64">
        <f t="shared" si="96"/>
        <v>0</v>
      </c>
      <c r="M179" s="12" t="str">
        <f t="shared" si="97"/>
        <v>N/A</v>
      </c>
      <c r="N179" s="176">
        <f t="shared" si="98"/>
        <v>0</v>
      </c>
    </row>
    <row r="180" spans="1:14" ht="13.5" thickBot="1" x14ac:dyDescent="0.25">
      <c r="A180" s="135"/>
      <c r="B180" s="136"/>
      <c r="C180" s="195" t="s">
        <v>204</v>
      </c>
      <c r="D180" s="196"/>
      <c r="E180" s="196"/>
      <c r="F180" s="197"/>
      <c r="G180" s="69">
        <f t="shared" ref="G180:L180" si="108">SUM(G172:G179)</f>
        <v>80055.839999999997</v>
      </c>
      <c r="H180" s="69">
        <f t="shared" si="108"/>
        <v>0</v>
      </c>
      <c r="I180" s="69">
        <f t="shared" si="108"/>
        <v>80055.839999999997</v>
      </c>
      <c r="J180" s="69">
        <f t="shared" si="108"/>
        <v>0</v>
      </c>
      <c r="K180" s="69">
        <f t="shared" si="108"/>
        <v>0</v>
      </c>
      <c r="L180" s="69">
        <f t="shared" si="108"/>
        <v>0</v>
      </c>
      <c r="M180" s="19" t="str">
        <f>IFERROR(L180/H180,"N/A")</f>
        <v>N/A</v>
      </c>
      <c r="N180" s="70">
        <f>SUM(N172:N179)</f>
        <v>80055.839999999997</v>
      </c>
    </row>
    <row r="181" spans="1:14" ht="13.5" thickBot="1" x14ac:dyDescent="0.25"/>
    <row r="182" spans="1:14" s="166" customFormat="1" x14ac:dyDescent="0.2">
      <c r="A182" s="182" t="s">
        <v>205</v>
      </c>
      <c r="B182" s="159"/>
      <c r="C182" s="159"/>
      <c r="D182" s="159"/>
      <c r="E182" s="159"/>
      <c r="F182" s="160"/>
      <c r="G182" s="161"/>
      <c r="H182" s="161"/>
      <c r="I182" s="161"/>
      <c r="J182" s="161"/>
      <c r="K182" s="161"/>
      <c r="L182" s="161"/>
      <c r="M182" s="4"/>
      <c r="N182" s="3"/>
    </row>
    <row r="183" spans="1:14" s="166" customFormat="1" ht="11.25" x14ac:dyDescent="0.2">
      <c r="A183" s="162" t="s">
        <v>206</v>
      </c>
      <c r="B183" s="207"/>
      <c r="C183" s="207"/>
      <c r="D183" s="207"/>
      <c r="E183" s="207"/>
      <c r="F183" s="164"/>
      <c r="G183" s="164"/>
      <c r="H183" s="164"/>
      <c r="I183" s="164"/>
      <c r="J183" s="164"/>
      <c r="K183" s="164"/>
      <c r="L183" s="164"/>
      <c r="M183" s="56"/>
      <c r="N183" s="208"/>
    </row>
    <row r="184" spans="1:14" s="166" customFormat="1" ht="11.25" x14ac:dyDescent="0.2">
      <c r="A184" s="209" t="s">
        <v>207</v>
      </c>
      <c r="B184" s="207"/>
      <c r="C184" s="207"/>
      <c r="D184" s="207"/>
      <c r="E184" s="207"/>
      <c r="F184" s="164"/>
      <c r="G184" s="164"/>
      <c r="H184" s="164"/>
      <c r="I184" s="164"/>
      <c r="J184" s="164"/>
      <c r="K184" s="164"/>
      <c r="L184" s="164"/>
      <c r="M184" s="56"/>
      <c r="N184" s="208"/>
    </row>
    <row r="185" spans="1:14" s="166" customFormat="1" ht="12" x14ac:dyDescent="0.2">
      <c r="A185" s="210" t="s">
        <v>208</v>
      </c>
      <c r="B185" s="207"/>
      <c r="C185" s="207"/>
      <c r="D185" s="207"/>
      <c r="E185" s="207"/>
      <c r="F185" s="207"/>
      <c r="G185" s="20"/>
      <c r="H185" s="20"/>
      <c r="I185" s="20"/>
      <c r="J185" s="20"/>
      <c r="K185" s="20"/>
      <c r="L185" s="20"/>
      <c r="M185" s="21"/>
      <c r="N185" s="22"/>
    </row>
    <row r="186" spans="1:14" ht="39.75" customHeight="1" thickBot="1" x14ac:dyDescent="0.25">
      <c r="A186" s="183" t="s">
        <v>153</v>
      </c>
      <c r="B186" s="184"/>
      <c r="C186" s="185"/>
      <c r="D186" s="185"/>
      <c r="E186" s="185"/>
      <c r="F186" s="185"/>
      <c r="G186" s="169" t="str">
        <f>G$18</f>
        <v>TOTAL
PROGRAM
BUDGET</v>
      </c>
      <c r="H186" s="169" t="str">
        <f t="shared" ref="H186:N186" si="109">H$18</f>
        <v>HSGP GRANT
BUDGET</v>
      </c>
      <c r="I186" s="169" t="str">
        <f t="shared" si="109"/>
        <v>NON-CITY PROGRAM BUDGET</v>
      </c>
      <c r="J186" s="169" t="str">
        <f t="shared" si="109"/>
        <v>HSGP
MID-YEAR EXPEND.</v>
      </c>
      <c r="K186" s="169" t="str">
        <f t="shared" si="109"/>
        <v>HSGP
YEAR-END EXPEND.</v>
      </c>
      <c r="L186" s="169" t="str">
        <f t="shared" si="109"/>
        <v>HSGP TOTAL EXPEND.</v>
      </c>
      <c r="M186" s="18" t="str">
        <f t="shared" si="109"/>
        <v>HSGP PERCENT EXPENDED</v>
      </c>
      <c r="N186" s="93" t="str">
        <f t="shared" si="109"/>
        <v>YEAR-END
 TOTAL PROGRAM EXPEND.</v>
      </c>
    </row>
    <row r="187" spans="1:14" ht="13.5" thickBot="1" x14ac:dyDescent="0.25">
      <c r="A187" s="211" t="s">
        <v>209</v>
      </c>
      <c r="B187" s="212"/>
      <c r="C187" s="105"/>
      <c r="D187" s="190"/>
      <c r="E187" s="213" t="s">
        <v>210</v>
      </c>
      <c r="F187" s="214">
        <f>IFERROR(H189/H191,"N/A")</f>
        <v>3.3168627450980391E-2</v>
      </c>
      <c r="G187" s="100">
        <v>857813.21023463993</v>
      </c>
      <c r="H187" s="100">
        <v>8458</v>
      </c>
      <c r="I187" s="71">
        <f>G187-H187</f>
        <v>849355.21023463993</v>
      </c>
      <c r="J187" s="203">
        <v>4031</v>
      </c>
      <c r="K187" s="203">
        <v>4366.3</v>
      </c>
      <c r="L187" s="64">
        <f>SUM(J187:K187)</f>
        <v>8397.2999999999993</v>
      </c>
      <c r="M187" s="12">
        <f>IFERROR(L187/H187,"N/A")</f>
        <v>0.99282336249704417</v>
      </c>
      <c r="N187" s="176">
        <f t="shared" ref="N187:N188" si="110">I187+L187</f>
        <v>857752.51023463998</v>
      </c>
    </row>
    <row r="188" spans="1:14" ht="13.5" thickBot="1" x14ac:dyDescent="0.25">
      <c r="A188" s="215"/>
      <c r="B188" s="212"/>
      <c r="C188" s="106"/>
      <c r="D188" s="190"/>
      <c r="E188" s="213"/>
      <c r="F188" s="214"/>
      <c r="G188" s="100">
        <v>0</v>
      </c>
      <c r="H188" s="100">
        <v>0</v>
      </c>
      <c r="I188" s="71">
        <f t="shared" ref="I188" si="111">G188-H188</f>
        <v>0</v>
      </c>
      <c r="J188" s="203">
        <v>0</v>
      </c>
      <c r="K188" s="203">
        <v>0</v>
      </c>
      <c r="L188" s="71">
        <f>SUM(J188:K188)</f>
        <v>0</v>
      </c>
      <c r="M188" s="17" t="str">
        <f>IFERROR(L188/H188,"N/A")</f>
        <v>N/A</v>
      </c>
      <c r="N188" s="176">
        <f t="shared" si="110"/>
        <v>0</v>
      </c>
    </row>
    <row r="189" spans="1:14" ht="13.5" thickBot="1" x14ac:dyDescent="0.25">
      <c r="A189" s="135"/>
      <c r="B189" s="136"/>
      <c r="C189" s="195" t="s">
        <v>211</v>
      </c>
      <c r="D189" s="196"/>
      <c r="E189" s="196"/>
      <c r="F189" s="216"/>
      <c r="G189" s="72">
        <f>SUM(G187:G188)</f>
        <v>857813.21023463993</v>
      </c>
      <c r="H189" s="72">
        <f>SUM(H187:H188)</f>
        <v>8458</v>
      </c>
      <c r="I189" s="72">
        <f>SUM(I187:I188)</f>
        <v>849355.21023463993</v>
      </c>
      <c r="J189" s="72">
        <f t="shared" ref="J189:L189" si="112">SUM(J187:J188)</f>
        <v>4031</v>
      </c>
      <c r="K189" s="72">
        <f t="shared" si="112"/>
        <v>4366.3</v>
      </c>
      <c r="L189" s="72">
        <f t="shared" si="112"/>
        <v>8397.2999999999993</v>
      </c>
      <c r="M189" s="63">
        <f>IFERROR(L189/H189,"N/A")</f>
        <v>0.99282336249704417</v>
      </c>
      <c r="N189" s="73">
        <f>SUM(N187:N188)</f>
        <v>857752.51023463998</v>
      </c>
    </row>
    <row r="190" spans="1:14" ht="13.5" thickBot="1" x14ac:dyDescent="0.25"/>
    <row r="191" spans="1:14" ht="15.75" thickBot="1" x14ac:dyDescent="0.3">
      <c r="A191" s="217"/>
      <c r="B191" s="218"/>
      <c r="C191" s="219" t="s">
        <v>212</v>
      </c>
      <c r="D191" s="218"/>
      <c r="E191" s="218"/>
      <c r="F191" s="220"/>
      <c r="G191" s="74">
        <f t="shared" ref="G191:L191" si="113">SUM(G189,G180,G167,G159,G136,G123,G108)</f>
        <v>7356398.1362546394</v>
      </c>
      <c r="H191" s="74">
        <f t="shared" si="113"/>
        <v>255000</v>
      </c>
      <c r="I191" s="74">
        <f t="shared" si="113"/>
        <v>7101398.1362546394</v>
      </c>
      <c r="J191" s="74">
        <f t="shared" si="113"/>
        <v>126143.48000000001</v>
      </c>
      <c r="K191" s="74">
        <f t="shared" si="113"/>
        <v>128856.56</v>
      </c>
      <c r="L191" s="74">
        <f t="shared" si="113"/>
        <v>255000.03999999998</v>
      </c>
      <c r="M191" s="2">
        <f>IFERROR(L191/H191,"N/A")</f>
        <v>1.000000156862745</v>
      </c>
      <c r="N191" s="75">
        <f>SUM(N189,N180,N167,N159,N136,N123,N108)</f>
        <v>7356398.1762546403</v>
      </c>
    </row>
    <row r="192" spans="1:14" ht="13.5" thickBot="1" x14ac:dyDescent="0.25">
      <c r="A192" s="113"/>
      <c r="F192" s="31"/>
    </row>
    <row r="193" spans="1:14" x14ac:dyDescent="0.2">
      <c r="A193" s="306" t="s">
        <v>213</v>
      </c>
      <c r="B193" s="307"/>
      <c r="C193" s="307"/>
      <c r="D193" s="307"/>
      <c r="E193" s="307"/>
      <c r="F193" s="307"/>
      <c r="G193" s="307"/>
      <c r="H193" s="307"/>
      <c r="I193" s="307"/>
      <c r="J193" s="307"/>
      <c r="K193" s="307"/>
      <c r="L193" s="307"/>
      <c r="M193" s="307"/>
      <c r="N193" s="308"/>
    </row>
    <row r="194" spans="1:14" ht="13.5" thickBot="1" x14ac:dyDescent="0.25">
      <c r="A194" s="309"/>
      <c r="B194" s="310"/>
      <c r="C194" s="310"/>
      <c r="D194" s="310"/>
      <c r="E194" s="310"/>
      <c r="F194" s="310"/>
      <c r="G194" s="310"/>
      <c r="H194" s="310"/>
      <c r="I194" s="310"/>
      <c r="J194" s="310"/>
      <c r="K194" s="310"/>
      <c r="L194" s="310"/>
      <c r="M194" s="310"/>
      <c r="N194" s="311"/>
    </row>
  </sheetData>
  <sheetProtection algorithmName="SHA-512" hashValue="EiGUrLoDzjOp0hLMN0JAd6TJaiCEQqjj90JQJmVNIZJVzM2TNuSxlRxCMNCekz7pjesPYE80Mu1DWr8znfuRFQ==" saltValue="WectLmXC8fZX2+HIbOXHug==" spinCount="100000" sheet="1" objects="1" scenarios="1"/>
  <mergeCells count="8">
    <mergeCell ref="A15:N15"/>
    <mergeCell ref="A193:N194"/>
    <mergeCell ref="A5:N5"/>
    <mergeCell ref="A6:N6"/>
    <mergeCell ref="A10:N10"/>
    <mergeCell ref="A13:N13"/>
    <mergeCell ref="A14:N14"/>
    <mergeCell ref="A11:N11"/>
  </mergeCells>
  <dataValidations count="6">
    <dataValidation type="list" allowBlank="1" showInputMessage="1" showErrorMessage="1" sqref="C107"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87:F188" xr:uid="{4496E346-E54B-4131-8896-07DE0B6BE27F}">
      <formula1>0</formula1>
      <formula2>0.15</formula2>
    </dataValidation>
    <dataValidation type="list" allowBlank="1" showInputMessage="1" showErrorMessage="1" sqref="C48:C106" xr:uid="{7D3329FF-CC4D-4A46-86BB-51AE24E339E0}">
      <formula1>$C$19:$C$21</formula1>
    </dataValidation>
    <dataValidation type="decimal" errorStyle="warning" allowBlank="1" showInputMessage="1" showErrorMessage="1" errorTitle="VARIANCE REPORT REQUIRED" error="Percentages below 90% or above 110% require an explanation in the VARIANCE REPORT/NOTES column." sqref="M48:M107"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zoomScaleNormal="100" workbookViewId="0">
      <selection activeCell="D2" sqref="D2"/>
    </sheetView>
  </sheetViews>
  <sheetFormatPr defaultColWidth="8.85546875" defaultRowHeight="12.75" x14ac:dyDescent="0.2"/>
  <cols>
    <col min="1" max="1" width="53.7109375" style="255" customWidth="1"/>
    <col min="2" max="8" width="19.7109375" style="256" customWidth="1"/>
    <col min="9" max="11" width="17.28515625" style="225" customWidth="1"/>
    <col min="12" max="12" width="17.140625" style="119" customWidth="1"/>
    <col min="13" max="13" width="14.5703125" style="119" bestFit="1" customWidth="1"/>
    <col min="14" max="14" width="16.85546875" style="119" bestFit="1" customWidth="1"/>
    <col min="15" max="16384" width="8.85546875" style="119"/>
  </cols>
  <sheetData>
    <row r="1" spans="1:11" ht="18" x14ac:dyDescent="0.2">
      <c r="A1" s="221" t="s">
        <v>14</v>
      </c>
      <c r="B1" s="222"/>
      <c r="C1" s="223"/>
      <c r="D1" s="224"/>
      <c r="E1" s="224"/>
      <c r="F1" s="224"/>
      <c r="G1" s="224"/>
      <c r="H1" s="224"/>
    </row>
    <row r="2" spans="1:11" ht="18" x14ac:dyDescent="0.2">
      <c r="A2" s="221" t="s">
        <v>214</v>
      </c>
      <c r="B2" s="226"/>
      <c r="C2" s="226"/>
      <c r="D2" s="227"/>
      <c r="E2" s="227"/>
      <c r="F2" s="227"/>
      <c r="G2" s="227"/>
      <c r="H2" s="227"/>
      <c r="I2" s="226"/>
      <c r="J2" s="226"/>
      <c r="K2" s="226"/>
    </row>
    <row r="3" spans="1:11" ht="18" x14ac:dyDescent="0.2">
      <c r="A3" s="221"/>
      <c r="B3" s="226"/>
      <c r="C3" s="226"/>
      <c r="D3" s="227"/>
      <c r="E3" s="227"/>
      <c r="F3" s="227"/>
      <c r="G3" s="227"/>
      <c r="H3" s="227"/>
      <c r="I3" s="226"/>
      <c r="J3" s="226"/>
      <c r="K3" s="226"/>
    </row>
    <row r="4" spans="1:11" ht="18" x14ac:dyDescent="0.2">
      <c r="A4" s="228" t="s">
        <v>215</v>
      </c>
      <c r="B4" s="226"/>
      <c r="C4" s="226"/>
      <c r="D4" s="227"/>
      <c r="E4" s="227"/>
      <c r="F4" s="227"/>
      <c r="G4" s="227"/>
      <c r="H4" s="227"/>
      <c r="I4" s="226"/>
      <c r="J4" s="226"/>
      <c r="K4" s="226"/>
    </row>
    <row r="5" spans="1:11" ht="14.25" customHeight="1" x14ac:dyDescent="0.2">
      <c r="A5" s="229" t="s">
        <v>216</v>
      </c>
      <c r="B5" s="230"/>
      <c r="C5" s="230"/>
      <c r="D5" s="230"/>
      <c r="E5" s="230"/>
      <c r="F5" s="230"/>
      <c r="G5" s="231"/>
      <c r="H5" s="230"/>
      <c r="I5" s="230"/>
      <c r="J5" s="230"/>
    </row>
    <row r="6" spans="1:11" ht="14.25" customHeight="1" x14ac:dyDescent="0.2">
      <c r="A6" s="229" t="s">
        <v>217</v>
      </c>
      <c r="B6" s="230"/>
      <c r="C6" s="230"/>
      <c r="D6" s="230"/>
      <c r="E6" s="230"/>
      <c r="F6" s="230"/>
      <c r="G6" s="231"/>
      <c r="H6" s="230"/>
      <c r="I6" s="230"/>
      <c r="J6" s="230"/>
    </row>
    <row r="7" spans="1:11" ht="14.25" customHeight="1" x14ac:dyDescent="0.2">
      <c r="A7" s="232"/>
      <c r="B7" s="230"/>
      <c r="C7" s="230"/>
      <c r="D7" s="230"/>
      <c r="E7" s="230"/>
      <c r="F7" s="230"/>
      <c r="G7" s="231"/>
      <c r="H7" s="230"/>
      <c r="I7" s="230"/>
      <c r="J7" s="230"/>
    </row>
    <row r="8" spans="1:11" s="229" customFormat="1" ht="30" x14ac:dyDescent="0.2">
      <c r="A8" s="233" t="s">
        <v>218</v>
      </c>
      <c r="B8" s="234" t="s">
        <v>219</v>
      </c>
      <c r="C8" s="234" t="s">
        <v>220</v>
      </c>
      <c r="D8" s="234" t="s">
        <v>221</v>
      </c>
      <c r="E8" s="232"/>
      <c r="F8" s="232"/>
      <c r="H8" s="232"/>
      <c r="J8" s="232"/>
      <c r="K8" s="232"/>
    </row>
    <row r="9" spans="1:11" s="229" customFormat="1" ht="14.25" x14ac:dyDescent="0.2">
      <c r="A9" s="235" t="s">
        <v>222</v>
      </c>
      <c r="B9" s="236">
        <v>2950</v>
      </c>
      <c r="C9" s="237">
        <v>2410</v>
      </c>
      <c r="D9" s="237">
        <v>3223</v>
      </c>
      <c r="E9" s="232"/>
      <c r="F9" s="232"/>
      <c r="G9" s="232"/>
      <c r="H9" s="232"/>
      <c r="J9" s="232"/>
      <c r="K9" s="232"/>
    </row>
    <row r="10" spans="1:11" s="229" customFormat="1" ht="14.25" x14ac:dyDescent="0.2">
      <c r="A10" s="235" t="s">
        <v>223</v>
      </c>
      <c r="B10" s="236">
        <v>2950</v>
      </c>
      <c r="C10" s="237">
        <v>2410</v>
      </c>
      <c r="D10" s="237">
        <v>3223</v>
      </c>
      <c r="E10" s="232"/>
      <c r="F10" s="232"/>
      <c r="G10" s="232"/>
      <c r="H10" s="232"/>
      <c r="J10" s="232"/>
      <c r="K10" s="232"/>
    </row>
    <row r="11" spans="1:11" s="229" customFormat="1" ht="14.25" x14ac:dyDescent="0.2">
      <c r="A11" s="235" t="s">
        <v>224</v>
      </c>
      <c r="B11" s="232"/>
      <c r="C11" s="237">
        <v>1662</v>
      </c>
      <c r="D11" s="237">
        <v>2256</v>
      </c>
      <c r="E11" s="232"/>
      <c r="F11" s="232"/>
      <c r="G11" s="232"/>
      <c r="H11" s="232"/>
      <c r="J11" s="232"/>
      <c r="K11" s="232"/>
    </row>
    <row r="12" spans="1:11" s="229" customFormat="1" ht="14.25" x14ac:dyDescent="0.2">
      <c r="A12" s="235" t="s">
        <v>225</v>
      </c>
      <c r="B12" s="232"/>
      <c r="C12" s="237"/>
      <c r="D12" s="237"/>
      <c r="E12" s="232"/>
      <c r="F12" s="232"/>
      <c r="G12" s="232"/>
      <c r="H12" s="232"/>
      <c r="J12" s="232"/>
      <c r="K12" s="232"/>
    </row>
    <row r="13" spans="1:11" s="229" customFormat="1" ht="14.25" x14ac:dyDescent="0.2">
      <c r="A13" s="235" t="s">
        <v>226</v>
      </c>
      <c r="B13" s="232"/>
      <c r="C13" s="237"/>
      <c r="D13" s="237"/>
      <c r="E13" s="232"/>
      <c r="F13" s="232"/>
      <c r="G13" s="232"/>
      <c r="H13" s="232"/>
      <c r="J13" s="232"/>
      <c r="K13" s="232"/>
    </row>
    <row r="14" spans="1:11" s="229" customFormat="1" ht="14.25" x14ac:dyDescent="0.2">
      <c r="A14" s="235" t="s">
        <v>227</v>
      </c>
      <c r="B14" s="232"/>
      <c r="C14" s="237">
        <v>6</v>
      </c>
      <c r="D14" s="237">
        <v>7</v>
      </c>
      <c r="E14" s="232"/>
      <c r="F14" s="232"/>
      <c r="G14" s="232"/>
      <c r="H14" s="232"/>
      <c r="J14" s="232"/>
      <c r="K14" s="232"/>
    </row>
    <row r="15" spans="1:11" s="229" customFormat="1" ht="14.25" x14ac:dyDescent="0.2">
      <c r="A15" s="235" t="s">
        <v>228</v>
      </c>
      <c r="B15" s="232"/>
      <c r="C15" s="237">
        <v>673</v>
      </c>
      <c r="D15" s="237">
        <v>839</v>
      </c>
      <c r="E15" s="232"/>
      <c r="F15" s="232"/>
      <c r="G15" s="232"/>
      <c r="H15" s="232"/>
      <c r="J15" s="232"/>
      <c r="K15" s="232"/>
    </row>
    <row r="16" spans="1:11" s="229" customFormat="1" ht="14.25" x14ac:dyDescent="0.2">
      <c r="A16" s="238"/>
      <c r="B16" s="239"/>
      <c r="C16" s="239"/>
      <c r="D16" s="239"/>
      <c r="F16" s="232"/>
      <c r="G16" s="232"/>
      <c r="H16" s="239"/>
      <c r="I16" s="239"/>
    </row>
    <row r="17" spans="1:11" s="229" customFormat="1" ht="14.25" x14ac:dyDescent="0.2">
      <c r="A17" s="238"/>
      <c r="B17" s="239"/>
      <c r="C17" s="239"/>
      <c r="D17" s="239"/>
      <c r="F17" s="232"/>
      <c r="G17" s="232"/>
      <c r="H17" s="239"/>
      <c r="I17" s="239"/>
    </row>
    <row r="18" spans="1:11" s="229" customFormat="1" ht="16.5" customHeight="1" x14ac:dyDescent="0.2">
      <c r="A18" s="326" t="s">
        <v>229</v>
      </c>
      <c r="B18" s="328" t="s">
        <v>220</v>
      </c>
      <c r="C18" s="329"/>
      <c r="D18" s="330"/>
      <c r="E18" s="328" t="s">
        <v>221</v>
      </c>
      <c r="F18" s="329"/>
      <c r="G18" s="330"/>
    </row>
    <row r="19" spans="1:11" s="229" customFormat="1" ht="45" x14ac:dyDescent="0.2">
      <c r="A19" s="326"/>
      <c r="B19" s="234" t="s">
        <v>230</v>
      </c>
      <c r="C19" s="234" t="s">
        <v>231</v>
      </c>
      <c r="D19" s="234" t="s">
        <v>232</v>
      </c>
      <c r="E19" s="234" t="s">
        <v>230</v>
      </c>
      <c r="F19" s="234" t="s">
        <v>231</v>
      </c>
      <c r="G19" s="234" t="s">
        <v>232</v>
      </c>
      <c r="H19" s="232"/>
    </row>
    <row r="20" spans="1:11" s="229" customFormat="1" ht="14.25" x14ac:dyDescent="0.2">
      <c r="A20" s="235" t="s">
        <v>233</v>
      </c>
      <c r="B20" s="237">
        <v>1</v>
      </c>
      <c r="C20" s="237">
        <v>2</v>
      </c>
      <c r="D20" s="237">
        <v>2</v>
      </c>
      <c r="E20" s="237">
        <v>2</v>
      </c>
      <c r="F20" s="237">
        <v>4</v>
      </c>
      <c r="G20" s="237">
        <v>2</v>
      </c>
      <c r="H20" s="232"/>
    </row>
    <row r="21" spans="1:11" s="229" customFormat="1" ht="14.25" x14ac:dyDescent="0.2">
      <c r="A21" s="235" t="s">
        <v>234</v>
      </c>
      <c r="B21" s="237">
        <v>1</v>
      </c>
      <c r="C21" s="237">
        <v>122</v>
      </c>
      <c r="D21" s="237">
        <v>9</v>
      </c>
      <c r="E21" s="237">
        <v>0</v>
      </c>
      <c r="F21" s="237">
        <v>168</v>
      </c>
      <c r="G21" s="237">
        <v>11</v>
      </c>
      <c r="H21" s="232"/>
    </row>
    <row r="22" spans="1:11" s="229" customFormat="1" ht="14.25" x14ac:dyDescent="0.2">
      <c r="A22" s="235" t="s">
        <v>235</v>
      </c>
      <c r="B22" s="237">
        <v>8</v>
      </c>
      <c r="C22" s="237">
        <v>193</v>
      </c>
      <c r="D22" s="237">
        <v>12</v>
      </c>
      <c r="E22" s="237">
        <v>10</v>
      </c>
      <c r="F22" s="237">
        <v>261</v>
      </c>
      <c r="G22" s="237">
        <v>14</v>
      </c>
      <c r="H22" s="232"/>
    </row>
    <row r="23" spans="1:11" s="229" customFormat="1" ht="14.25" x14ac:dyDescent="0.2">
      <c r="A23" s="235" t="s">
        <v>236</v>
      </c>
      <c r="B23" s="237">
        <v>1</v>
      </c>
      <c r="C23" s="237">
        <v>3</v>
      </c>
      <c r="D23" s="237">
        <v>0</v>
      </c>
      <c r="E23" s="237">
        <v>1</v>
      </c>
      <c r="F23" s="237">
        <v>3</v>
      </c>
      <c r="G23" s="237">
        <v>0</v>
      </c>
      <c r="H23" s="232"/>
    </row>
    <row r="24" spans="1:11" s="229" customFormat="1" ht="14.25" x14ac:dyDescent="0.2">
      <c r="A24" s="235" t="s">
        <v>237</v>
      </c>
      <c r="B24" s="237">
        <v>994</v>
      </c>
      <c r="C24" s="237">
        <v>783</v>
      </c>
      <c r="D24" s="237">
        <v>67</v>
      </c>
      <c r="E24" s="237">
        <v>1257</v>
      </c>
      <c r="F24" s="237">
        <v>1095</v>
      </c>
      <c r="G24" s="237">
        <v>92</v>
      </c>
      <c r="H24" s="232"/>
    </row>
    <row r="25" spans="1:11" s="229" customFormat="1" ht="14.25" x14ac:dyDescent="0.2">
      <c r="A25" s="235" t="s">
        <v>238</v>
      </c>
      <c r="B25" s="237">
        <v>10</v>
      </c>
      <c r="C25" s="237">
        <v>32</v>
      </c>
      <c r="D25" s="237">
        <v>1</v>
      </c>
      <c r="E25" s="237">
        <v>10</v>
      </c>
      <c r="F25" s="237">
        <v>38</v>
      </c>
      <c r="G25" s="237">
        <v>3</v>
      </c>
      <c r="H25" s="232"/>
    </row>
    <row r="26" spans="1:11" s="229" customFormat="1" ht="14.25" x14ac:dyDescent="0.2">
      <c r="A26" s="235" t="s">
        <v>239</v>
      </c>
      <c r="B26" s="237">
        <v>0</v>
      </c>
      <c r="C26" s="237">
        <v>0</v>
      </c>
      <c r="D26" s="237">
        <v>0</v>
      </c>
      <c r="E26" s="237">
        <v>0</v>
      </c>
      <c r="F26" s="237">
        <v>0</v>
      </c>
      <c r="G26" s="237">
        <v>0</v>
      </c>
      <c r="H26" s="232"/>
    </row>
    <row r="27" spans="1:11" s="229" customFormat="1" ht="14.25" x14ac:dyDescent="0.2">
      <c r="A27" s="235" t="s">
        <v>232</v>
      </c>
      <c r="B27" s="237">
        <v>42</v>
      </c>
      <c r="C27" s="237">
        <v>42</v>
      </c>
      <c r="D27" s="237">
        <v>85</v>
      </c>
      <c r="E27" s="237">
        <v>75</v>
      </c>
      <c r="F27" s="237">
        <v>71</v>
      </c>
      <c r="G27" s="237">
        <v>106</v>
      </c>
      <c r="H27" s="232"/>
    </row>
    <row r="28" spans="1:11" s="229" customFormat="1" ht="15" x14ac:dyDescent="0.2">
      <c r="A28" s="240" t="s">
        <v>223</v>
      </c>
      <c r="B28" s="241">
        <f>SUM(B20:B27)</f>
        <v>1057</v>
      </c>
      <c r="C28" s="241">
        <f t="shared" ref="C28:E28" si="0">SUM(C20:C27)</f>
        <v>1177</v>
      </c>
      <c r="D28" s="241">
        <f t="shared" si="0"/>
        <v>176</v>
      </c>
      <c r="E28" s="241">
        <f t="shared" si="0"/>
        <v>1355</v>
      </c>
      <c r="F28" s="241">
        <f t="shared" ref="F28:G28" si="1">SUM(F20:F27)</f>
        <v>1640</v>
      </c>
      <c r="G28" s="241">
        <f t="shared" si="1"/>
        <v>228</v>
      </c>
      <c r="H28" s="232"/>
    </row>
    <row r="29" spans="1:11" s="229" customFormat="1" ht="14.25" x14ac:dyDescent="0.2">
      <c r="B29" s="239"/>
      <c r="C29" s="239"/>
      <c r="D29" s="239"/>
      <c r="E29" s="232"/>
      <c r="F29" s="232"/>
      <c r="G29" s="232"/>
      <c r="H29" s="232"/>
      <c r="J29" s="232"/>
      <c r="K29" s="232"/>
    </row>
    <row r="30" spans="1:11" s="229" customFormat="1" ht="14.25" x14ac:dyDescent="0.2">
      <c r="B30" s="239"/>
      <c r="C30" s="239"/>
      <c r="D30" s="239"/>
      <c r="E30" s="232"/>
      <c r="F30" s="232"/>
      <c r="G30" s="232"/>
      <c r="H30" s="232"/>
      <c r="J30" s="232"/>
      <c r="K30" s="232"/>
    </row>
    <row r="31" spans="1:11" s="229" customFormat="1" ht="35.1" customHeight="1" x14ac:dyDescent="0.2">
      <c r="A31" s="233" t="s">
        <v>240</v>
      </c>
      <c r="B31" s="234" t="s">
        <v>241</v>
      </c>
      <c r="C31" s="234" t="s">
        <v>221</v>
      </c>
      <c r="D31" s="232"/>
      <c r="E31" s="326" t="s">
        <v>242</v>
      </c>
      <c r="F31" s="326"/>
      <c r="G31" s="234" t="s">
        <v>243</v>
      </c>
      <c r="H31" s="234" t="s">
        <v>244</v>
      </c>
      <c r="I31" s="232"/>
      <c r="J31" s="232"/>
    </row>
    <row r="32" spans="1:11" s="229" customFormat="1" ht="14.25" x14ac:dyDescent="0.2">
      <c r="A32" s="235">
        <v>90401</v>
      </c>
      <c r="B32" s="237">
        <v>227</v>
      </c>
      <c r="C32" s="237">
        <v>305</v>
      </c>
      <c r="D32" s="232"/>
      <c r="E32" s="324" t="s">
        <v>245</v>
      </c>
      <c r="F32" s="324"/>
      <c r="G32" s="243">
        <v>122</v>
      </c>
      <c r="H32" s="243">
        <v>158</v>
      </c>
      <c r="I32" s="232"/>
      <c r="J32" s="232"/>
    </row>
    <row r="33" spans="1:11" s="229" customFormat="1" ht="14.25" x14ac:dyDescent="0.2">
      <c r="A33" s="235">
        <v>90402</v>
      </c>
      <c r="B33" s="237">
        <v>75</v>
      </c>
      <c r="C33" s="237">
        <v>96</v>
      </c>
      <c r="D33" s="232"/>
      <c r="E33" s="327" t="s">
        <v>246</v>
      </c>
      <c r="F33" s="327"/>
      <c r="G33" s="245">
        <v>185</v>
      </c>
      <c r="H33" s="243">
        <v>243</v>
      </c>
      <c r="I33" s="232"/>
      <c r="J33" s="232"/>
    </row>
    <row r="34" spans="1:11" s="229" customFormat="1" ht="14.25" x14ac:dyDescent="0.2">
      <c r="A34" s="235">
        <v>90403</v>
      </c>
      <c r="B34" s="237">
        <v>317</v>
      </c>
      <c r="C34" s="237">
        <v>457</v>
      </c>
      <c r="D34" s="232"/>
      <c r="E34" s="327" t="s">
        <v>247</v>
      </c>
      <c r="F34" s="327"/>
      <c r="G34" s="245">
        <v>238</v>
      </c>
      <c r="H34" s="243">
        <v>297</v>
      </c>
      <c r="I34" s="232"/>
      <c r="J34" s="232"/>
    </row>
    <row r="35" spans="1:11" s="229" customFormat="1" ht="14.25" x14ac:dyDescent="0.2">
      <c r="A35" s="235">
        <v>90404</v>
      </c>
      <c r="B35" s="237">
        <v>1033</v>
      </c>
      <c r="C35" s="237">
        <v>1340</v>
      </c>
      <c r="D35" s="232"/>
      <c r="E35" s="324" t="s">
        <v>248</v>
      </c>
      <c r="F35" s="324"/>
      <c r="G35" s="245">
        <v>168</v>
      </c>
      <c r="H35" s="243">
        <v>256</v>
      </c>
      <c r="I35" s="232"/>
      <c r="J35" s="232"/>
    </row>
    <row r="36" spans="1:11" s="229" customFormat="1" ht="14.25" x14ac:dyDescent="0.2">
      <c r="A36" s="235">
        <v>90405</v>
      </c>
      <c r="B36" s="237">
        <v>741</v>
      </c>
      <c r="C36" s="237">
        <v>1002</v>
      </c>
      <c r="D36" s="232"/>
      <c r="E36" s="324" t="s">
        <v>249</v>
      </c>
      <c r="F36" s="324"/>
      <c r="G36" s="245">
        <v>283</v>
      </c>
      <c r="H36" s="243">
        <v>424</v>
      </c>
      <c r="I36" s="232"/>
      <c r="J36" s="232"/>
    </row>
    <row r="37" spans="1:11" s="229" customFormat="1" ht="14.25" x14ac:dyDescent="0.2">
      <c r="A37" s="235" t="s">
        <v>250</v>
      </c>
      <c r="B37" s="237">
        <v>17</v>
      </c>
      <c r="C37" s="237">
        <v>23</v>
      </c>
      <c r="D37" s="232"/>
      <c r="E37" s="324" t="s">
        <v>251</v>
      </c>
      <c r="F37" s="324"/>
      <c r="G37" s="245">
        <v>282</v>
      </c>
      <c r="H37" s="243">
        <v>403</v>
      </c>
      <c r="I37" s="232"/>
      <c r="J37" s="232"/>
    </row>
    <row r="38" spans="1:11" s="229" customFormat="1" ht="15" x14ac:dyDescent="0.2">
      <c r="A38" s="240" t="s">
        <v>223</v>
      </c>
      <c r="B38" s="241">
        <f>SUM(B32:B37)</f>
        <v>2410</v>
      </c>
      <c r="C38" s="241">
        <f>SUM(C32:C37)</f>
        <v>3223</v>
      </c>
      <c r="D38" s="239"/>
      <c r="E38" s="324" t="s">
        <v>252</v>
      </c>
      <c r="F38" s="324"/>
      <c r="G38" s="245">
        <v>375</v>
      </c>
      <c r="H38" s="243">
        <v>490</v>
      </c>
      <c r="I38" s="232"/>
      <c r="J38" s="232"/>
    </row>
    <row r="39" spans="1:11" s="229" customFormat="1" ht="14.25" x14ac:dyDescent="0.2">
      <c r="B39" s="232"/>
      <c r="C39" s="239"/>
      <c r="E39" s="324" t="s">
        <v>253</v>
      </c>
      <c r="F39" s="324"/>
      <c r="G39" s="245">
        <v>303</v>
      </c>
      <c r="H39" s="243">
        <v>384</v>
      </c>
      <c r="J39" s="232"/>
      <c r="K39" s="232"/>
    </row>
    <row r="40" spans="1:11" s="229" customFormat="1" ht="14.25" x14ac:dyDescent="0.2">
      <c r="E40" s="324" t="s">
        <v>254</v>
      </c>
      <c r="F40" s="324"/>
      <c r="G40" s="245">
        <v>393</v>
      </c>
      <c r="H40" s="243">
        <v>483</v>
      </c>
    </row>
    <row r="41" spans="1:11" s="229" customFormat="1" ht="14.25" x14ac:dyDescent="0.2">
      <c r="E41" s="324" t="s">
        <v>255</v>
      </c>
      <c r="F41" s="324"/>
      <c r="G41" s="245">
        <v>53</v>
      </c>
      <c r="H41" s="243">
        <v>74</v>
      </c>
    </row>
    <row r="42" spans="1:11" s="229" customFormat="1" ht="14.25" x14ac:dyDescent="0.2">
      <c r="E42" s="324" t="s">
        <v>256</v>
      </c>
      <c r="F42" s="324"/>
      <c r="G42" s="245">
        <v>8</v>
      </c>
      <c r="H42" s="243">
        <v>11</v>
      </c>
    </row>
    <row r="43" spans="1:11" s="229" customFormat="1" ht="14.25" x14ac:dyDescent="0.2">
      <c r="E43" s="331" t="s">
        <v>250</v>
      </c>
      <c r="F43" s="332"/>
      <c r="G43" s="245">
        <v>0</v>
      </c>
      <c r="H43" s="243">
        <v>0</v>
      </c>
    </row>
    <row r="44" spans="1:11" s="229" customFormat="1" ht="15" x14ac:dyDescent="0.2">
      <c r="E44" s="323" t="s">
        <v>223</v>
      </c>
      <c r="F44" s="323"/>
      <c r="G44" s="247">
        <f>SUM(G32:G43)</f>
        <v>2410</v>
      </c>
      <c r="H44" s="247">
        <f>SUM(H32:H43)</f>
        <v>3223</v>
      </c>
    </row>
    <row r="45" spans="1:11" s="229" customFormat="1" ht="14.25" x14ac:dyDescent="0.2"/>
    <row r="46" spans="1:11" s="229" customFormat="1" ht="14.25" x14ac:dyDescent="0.2"/>
    <row r="47" spans="1:11" s="229" customFormat="1" ht="42" customHeight="1" x14ac:dyDescent="0.2">
      <c r="A47" s="248" t="s">
        <v>257</v>
      </c>
      <c r="B47" s="249" t="s">
        <v>243</v>
      </c>
      <c r="C47" s="249" t="s">
        <v>221</v>
      </c>
      <c r="E47" s="333" t="s">
        <v>258</v>
      </c>
      <c r="F47" s="333"/>
      <c r="G47" s="249" t="s">
        <v>243</v>
      </c>
      <c r="H47" s="249" t="s">
        <v>221</v>
      </c>
    </row>
    <row r="48" spans="1:11" s="229" customFormat="1" ht="14.25" x14ac:dyDescent="0.2">
      <c r="A48" s="242" t="s">
        <v>259</v>
      </c>
      <c r="B48" s="250">
        <v>949</v>
      </c>
      <c r="C48" s="250">
        <v>1295</v>
      </c>
      <c r="E48" s="324" t="s">
        <v>260</v>
      </c>
      <c r="F48" s="324"/>
      <c r="G48" s="250">
        <v>0</v>
      </c>
      <c r="H48" s="251">
        <v>0</v>
      </c>
    </row>
    <row r="49" spans="1:14" s="229" customFormat="1" ht="14.25" x14ac:dyDescent="0.2">
      <c r="A49" s="244" t="s">
        <v>261</v>
      </c>
      <c r="B49" s="252">
        <v>1435</v>
      </c>
      <c r="C49" s="250">
        <v>1885</v>
      </c>
      <c r="E49" s="327" t="s">
        <v>262</v>
      </c>
      <c r="F49" s="327"/>
      <c r="G49" s="252">
        <v>39</v>
      </c>
      <c r="H49" s="251">
        <v>45</v>
      </c>
    </row>
    <row r="50" spans="1:14" s="229" customFormat="1" ht="14.25" x14ac:dyDescent="0.2">
      <c r="A50" s="244" t="s">
        <v>263</v>
      </c>
      <c r="B50" s="252">
        <v>1</v>
      </c>
      <c r="C50" s="250">
        <v>2</v>
      </c>
      <c r="E50" s="327" t="s">
        <v>264</v>
      </c>
      <c r="F50" s="327"/>
      <c r="G50" s="252">
        <v>26</v>
      </c>
      <c r="H50" s="251">
        <v>39</v>
      </c>
    </row>
    <row r="51" spans="1:14" s="229" customFormat="1" ht="14.25" x14ac:dyDescent="0.2">
      <c r="A51" s="244" t="s">
        <v>265</v>
      </c>
      <c r="B51" s="252">
        <v>1</v>
      </c>
      <c r="C51" s="250">
        <v>1</v>
      </c>
      <c r="E51" s="324" t="s">
        <v>266</v>
      </c>
      <c r="F51" s="324"/>
      <c r="G51" s="252">
        <v>1881</v>
      </c>
      <c r="H51" s="251">
        <v>2521</v>
      </c>
    </row>
    <row r="52" spans="1:14" s="229" customFormat="1" ht="14.25" x14ac:dyDescent="0.2">
      <c r="A52" s="242" t="s">
        <v>267</v>
      </c>
      <c r="B52" s="252">
        <v>0</v>
      </c>
      <c r="C52" s="250">
        <v>0</v>
      </c>
      <c r="E52" s="324" t="s">
        <v>268</v>
      </c>
      <c r="F52" s="324"/>
      <c r="G52" s="252">
        <v>0</v>
      </c>
      <c r="H52" s="251">
        <v>0</v>
      </c>
    </row>
    <row r="53" spans="1:14" s="229" customFormat="1" ht="14.25" x14ac:dyDescent="0.2">
      <c r="A53" s="242" t="s">
        <v>269</v>
      </c>
      <c r="B53" s="252">
        <v>5</v>
      </c>
      <c r="C53" s="250">
        <v>5</v>
      </c>
      <c r="E53" s="324" t="s">
        <v>270</v>
      </c>
      <c r="F53" s="324"/>
      <c r="G53" s="252">
        <v>464</v>
      </c>
      <c r="H53" s="251">
        <v>618</v>
      </c>
    </row>
    <row r="54" spans="1:14" s="229" customFormat="1" ht="15" x14ac:dyDescent="0.2">
      <c r="A54" s="242" t="s">
        <v>271</v>
      </c>
      <c r="B54" s="252">
        <v>3</v>
      </c>
      <c r="C54" s="250">
        <v>4</v>
      </c>
      <c r="E54" s="323" t="s">
        <v>272</v>
      </c>
      <c r="F54" s="323"/>
      <c r="G54" s="252">
        <v>0</v>
      </c>
      <c r="H54" s="251">
        <v>0</v>
      </c>
    </row>
    <row r="55" spans="1:14" ht="15" x14ac:dyDescent="0.2">
      <c r="A55" s="242" t="s">
        <v>270</v>
      </c>
      <c r="B55" s="252">
        <v>16</v>
      </c>
      <c r="C55" s="250">
        <v>31</v>
      </c>
      <c r="D55" s="119"/>
      <c r="E55" s="325" t="s">
        <v>223</v>
      </c>
      <c r="F55" s="325"/>
      <c r="G55" s="247">
        <f>SUM(G48:G54)</f>
        <v>2410</v>
      </c>
      <c r="H55" s="247">
        <f>SUM(H48:H54)</f>
        <v>3223</v>
      </c>
      <c r="I55" s="119"/>
      <c r="J55" s="119"/>
      <c r="K55" s="119"/>
    </row>
    <row r="56" spans="1:14" ht="15" x14ac:dyDescent="0.2">
      <c r="A56" s="246" t="s">
        <v>272</v>
      </c>
      <c r="B56" s="253">
        <v>0</v>
      </c>
      <c r="C56" s="254">
        <v>0</v>
      </c>
      <c r="D56" s="119"/>
      <c r="E56" s="119"/>
      <c r="F56" s="119"/>
      <c r="G56" s="119"/>
      <c r="H56" s="119"/>
      <c r="I56" s="119"/>
      <c r="J56" s="119"/>
      <c r="K56" s="119"/>
    </row>
    <row r="57" spans="1:14" ht="15" x14ac:dyDescent="0.2">
      <c r="A57" s="240" t="s">
        <v>223</v>
      </c>
      <c r="B57" s="247">
        <f>SUM(B48:B56)</f>
        <v>2410</v>
      </c>
      <c r="C57" s="247">
        <f>SUM(C48:C56)</f>
        <v>3223</v>
      </c>
      <c r="D57" s="119"/>
      <c r="E57" s="119"/>
      <c r="F57" s="119"/>
      <c r="G57" s="119"/>
      <c r="H57" s="119"/>
      <c r="I57" s="119"/>
      <c r="J57" s="119"/>
      <c r="K57" s="119"/>
    </row>
    <row r="58" spans="1:14" s="225" customFormat="1" x14ac:dyDescent="0.2">
      <c r="A58" s="255"/>
      <c r="B58" s="256"/>
      <c r="D58" s="256"/>
      <c r="E58" s="119"/>
      <c r="F58" s="119"/>
      <c r="G58" s="119"/>
      <c r="H58" s="119"/>
      <c r="L58" s="119"/>
      <c r="M58" s="119"/>
      <c r="N58" s="119"/>
    </row>
    <row r="59" spans="1:14" s="225" customFormat="1" x14ac:dyDescent="0.2">
      <c r="A59" s="255"/>
      <c r="B59" s="256"/>
      <c r="D59" s="256"/>
      <c r="E59" s="256"/>
      <c r="F59" s="256"/>
      <c r="G59" s="256"/>
      <c r="H59" s="256"/>
      <c r="L59" s="119"/>
      <c r="M59" s="119"/>
      <c r="N59" s="119"/>
    </row>
    <row r="60" spans="1:14" s="229" customFormat="1" ht="30" customHeight="1" x14ac:dyDescent="0.2">
      <c r="A60" s="255"/>
      <c r="B60" s="256"/>
      <c r="C60" s="256"/>
    </row>
    <row r="61" spans="1:14" s="229" customFormat="1" ht="14.25" x14ac:dyDescent="0.2">
      <c r="A61" s="255"/>
      <c r="B61" s="256"/>
      <c r="C61" s="225"/>
    </row>
    <row r="62" spans="1:14" s="229" customFormat="1" ht="14.25" x14ac:dyDescent="0.2"/>
    <row r="63" spans="1:14" s="229" customFormat="1" ht="14.25" x14ac:dyDescent="0.2"/>
    <row r="64" spans="1:14" s="229" customFormat="1" ht="14.25" x14ac:dyDescent="0.2"/>
    <row r="65" spans="1:11" s="229" customFormat="1" ht="14.25" x14ac:dyDescent="0.2"/>
    <row r="66" spans="1:11" s="229" customFormat="1" ht="14.25" x14ac:dyDescent="0.2">
      <c r="I66" s="119"/>
    </row>
    <row r="67" spans="1:11" ht="14.25" x14ac:dyDescent="0.2">
      <c r="A67" s="229"/>
      <c r="B67" s="229"/>
      <c r="C67" s="229"/>
      <c r="D67" s="119"/>
      <c r="E67" s="119"/>
      <c r="F67" s="119"/>
      <c r="G67" s="119"/>
      <c r="H67" s="119"/>
      <c r="J67" s="119"/>
      <c r="K67" s="119"/>
    </row>
    <row r="68" spans="1:11" ht="14.25" x14ac:dyDescent="0.2">
      <c r="A68" s="229"/>
      <c r="B68" s="229"/>
      <c r="C68" s="229"/>
    </row>
    <row r="69" spans="1:11" x14ac:dyDescent="0.2">
      <c r="A69" s="119"/>
      <c r="B69" s="119"/>
      <c r="C69" s="119"/>
    </row>
  </sheetData>
  <sheetProtection algorithmName="SHA-512" hashValue="LmHtsNfGTSuSTmUKH3xVTtzAN13hHi8C0C8xq5pGPV92GdibP8cb7xBRrYYLzNnmCGNdm+k9VwbEzPee9A17cQ==" saltValue="GfhNPIZRXEwG59FzYamuMA==" spinCount="100000" sheet="1" objects="1" scenarios="1"/>
  <mergeCells count="26">
    <mergeCell ref="B18:D18"/>
    <mergeCell ref="E34:F34"/>
    <mergeCell ref="E44:F44"/>
    <mergeCell ref="E42:F42"/>
    <mergeCell ref="E41:F41"/>
    <mergeCell ref="E40:F40"/>
    <mergeCell ref="E39:F39"/>
    <mergeCell ref="E38:F38"/>
    <mergeCell ref="E37:F37"/>
    <mergeCell ref="E36:F3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F1" sqref="F1"/>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273</v>
      </c>
      <c r="C2" s="32"/>
      <c r="D2" s="32"/>
      <c r="E2" s="32"/>
      <c r="F2" s="32"/>
      <c r="G2" s="32"/>
    </row>
    <row r="3" spans="1:7" ht="36" customHeight="1" x14ac:dyDescent="0.2">
      <c r="A3" s="98"/>
      <c r="B3" s="336" t="s">
        <v>274</v>
      </c>
      <c r="C3" s="337"/>
      <c r="D3" s="337"/>
      <c r="E3" s="337"/>
      <c r="F3" s="338"/>
      <c r="G3" s="32"/>
    </row>
    <row r="4" spans="1:7" ht="18" x14ac:dyDescent="0.25">
      <c r="A4" s="16"/>
      <c r="B4" s="23"/>
      <c r="C4" s="32"/>
      <c r="D4" s="32"/>
      <c r="E4" s="32"/>
      <c r="F4" s="32"/>
      <c r="G4" s="32"/>
    </row>
    <row r="5" spans="1:7" ht="22.5" customHeight="1" x14ac:dyDescent="0.25">
      <c r="A5" s="16"/>
      <c r="B5" s="77" t="str">
        <f>'FISCAL REPORT'!B19</f>
        <v>Venice Family Clinic</v>
      </c>
      <c r="C5" s="77"/>
      <c r="D5" s="78"/>
      <c r="E5" s="78"/>
      <c r="F5" s="78"/>
      <c r="G5" s="32"/>
    </row>
    <row r="6" spans="1:7" ht="22.5" customHeight="1" x14ac:dyDescent="0.25">
      <c r="A6" s="16"/>
      <c r="B6" s="77" t="str">
        <f>'FISCAL REPORT'!B20</f>
        <v>Comprehensive Care for Santa Monica Residents in Need</v>
      </c>
      <c r="C6" s="79"/>
      <c r="D6" s="80"/>
      <c r="E6" s="80"/>
      <c r="F6" s="80"/>
      <c r="G6" s="32"/>
    </row>
    <row r="7" spans="1:7" ht="8.25" customHeight="1" thickBot="1" x14ac:dyDescent="0.25">
      <c r="A7" s="16"/>
      <c r="B7" s="24"/>
      <c r="C7" s="32"/>
      <c r="D7" s="32"/>
      <c r="E7" s="32"/>
      <c r="F7" s="32"/>
      <c r="G7" s="32"/>
    </row>
    <row r="8" spans="1:7" ht="52.5" customHeight="1" x14ac:dyDescent="0.55000000000000004">
      <c r="B8" s="34" t="s">
        <v>275</v>
      </c>
      <c r="C8" s="35" t="s">
        <v>276</v>
      </c>
      <c r="D8" s="35"/>
      <c r="E8" s="35" t="s">
        <v>277</v>
      </c>
      <c r="F8" s="36"/>
      <c r="G8" s="32"/>
    </row>
    <row r="9" spans="1:7" ht="14.25" x14ac:dyDescent="0.2">
      <c r="B9" s="37" t="s">
        <v>278</v>
      </c>
      <c r="C9" s="97">
        <f>'PARTICIPANT DEMOGRAPHICS'!B9</f>
        <v>2950</v>
      </c>
      <c r="D9" s="97"/>
      <c r="E9" s="97">
        <f>'PARTICIPANT DEMOGRAPHICS'!D9</f>
        <v>3223</v>
      </c>
      <c r="F9" s="40"/>
      <c r="G9" s="32"/>
    </row>
    <row r="10" spans="1:7" ht="14.25" x14ac:dyDescent="0.2">
      <c r="B10" s="41" t="s">
        <v>279</v>
      </c>
      <c r="C10" s="97">
        <f>'PARTICIPANT DEMOGRAPHICS'!B10</f>
        <v>2950</v>
      </c>
      <c r="D10" s="39"/>
      <c r="E10" s="97">
        <f>'PARTICIPANT DEMOGRAPHICS'!D10</f>
        <v>3223</v>
      </c>
      <c r="F10" s="40"/>
      <c r="G10" s="32"/>
    </row>
    <row r="11" spans="1:7" ht="14.25" x14ac:dyDescent="0.2">
      <c r="B11" s="37" t="s">
        <v>280</v>
      </c>
      <c r="C11" s="57">
        <f>IFERROR(C10/C9, "N/A")</f>
        <v>1</v>
      </c>
      <c r="D11" s="43"/>
      <c r="E11" s="86">
        <f>IFERROR(E10/E9, "N/A")</f>
        <v>1</v>
      </c>
      <c r="F11" s="40"/>
      <c r="G11" s="32"/>
    </row>
    <row r="12" spans="1:7" ht="14.25" x14ac:dyDescent="0.2">
      <c r="B12" s="37"/>
      <c r="C12" s="42"/>
      <c r="D12" s="43"/>
      <c r="E12" s="38"/>
      <c r="F12" s="40"/>
      <c r="G12" s="32"/>
    </row>
    <row r="13" spans="1:7" ht="63.75" customHeight="1" x14ac:dyDescent="0.55000000000000004">
      <c r="B13" s="44" t="s">
        <v>281</v>
      </c>
      <c r="C13" s="108" t="s">
        <v>282</v>
      </c>
      <c r="D13" s="108" t="s">
        <v>283</v>
      </c>
      <c r="E13" s="108" t="s">
        <v>284</v>
      </c>
      <c r="F13" s="109" t="s">
        <v>285</v>
      </c>
      <c r="G13" s="32"/>
    </row>
    <row r="14" spans="1:7" ht="16.5" customHeight="1" x14ac:dyDescent="0.2">
      <c r="B14" s="37" t="s">
        <v>286</v>
      </c>
      <c r="C14" s="81">
        <f>'FISCAL REPORT'!G26</f>
        <v>7356398.1362546394</v>
      </c>
      <c r="D14" s="81">
        <f>'FISCAL REPORT'!H26</f>
        <v>255000</v>
      </c>
      <c r="E14" s="81">
        <f>'FISCAL REPORT'!N26</f>
        <v>7356398.1762546403</v>
      </c>
      <c r="F14" s="82">
        <f>'FISCAL REPORT'!L26</f>
        <v>255000.03999999998</v>
      </c>
      <c r="G14" s="32"/>
    </row>
    <row r="15" spans="1:7" ht="16.5" customHeight="1" x14ac:dyDescent="0.2">
      <c r="B15" s="37"/>
      <c r="C15" s="45"/>
      <c r="D15" s="45"/>
      <c r="E15" s="45"/>
      <c r="F15" s="46"/>
      <c r="G15" s="32"/>
    </row>
    <row r="16" spans="1:7" ht="19.5" x14ac:dyDescent="0.55000000000000004">
      <c r="B16" s="44" t="s">
        <v>287</v>
      </c>
      <c r="C16" s="334" t="s">
        <v>288</v>
      </c>
      <c r="D16" s="334"/>
      <c r="E16" s="334" t="s">
        <v>289</v>
      </c>
      <c r="F16" s="335"/>
      <c r="G16" s="32"/>
    </row>
    <row r="17" spans="2:8" ht="14.25" x14ac:dyDescent="0.2">
      <c r="B17" s="37" t="s">
        <v>290</v>
      </c>
      <c r="C17" s="83">
        <f>IFERROR(C14*C11,"N/A")</f>
        <v>7356398.1362546394</v>
      </c>
      <c r="D17" s="47">
        <f>IFERROR(C17/C14,"N/A")</f>
        <v>1</v>
      </c>
      <c r="E17" s="84">
        <f>IFERROR(E14*E11,"N/A")</f>
        <v>7356398.1762546403</v>
      </c>
      <c r="F17" s="49">
        <f>IFERROR(E17/E14,"N/A")</f>
        <v>1</v>
      </c>
      <c r="G17" s="32"/>
    </row>
    <row r="18" spans="2:8" ht="14.25" x14ac:dyDescent="0.2">
      <c r="B18" s="37" t="s">
        <v>291</v>
      </c>
      <c r="C18" s="83">
        <f>D14</f>
        <v>255000</v>
      </c>
      <c r="D18" s="47">
        <f>IFERROR(C18/C17, "N/A")</f>
        <v>3.4663702980304988E-2</v>
      </c>
      <c r="E18" s="84">
        <f>F14</f>
        <v>255000.03999999998</v>
      </c>
      <c r="F18" s="49">
        <f>IFERROR(E18/E17, "N/A")</f>
        <v>3.4663708229266628E-2</v>
      </c>
      <c r="G18" s="32"/>
      <c r="H18" s="33"/>
    </row>
    <row r="19" spans="2:8" ht="15" thickBot="1" x14ac:dyDescent="0.25">
      <c r="B19" s="37"/>
      <c r="C19" s="25"/>
      <c r="D19" s="47"/>
      <c r="E19" s="48"/>
      <c r="F19" s="49"/>
      <c r="G19" s="32"/>
    </row>
    <row r="20" spans="2:8" ht="15.75" thickBot="1" x14ac:dyDescent="0.3">
      <c r="B20" s="50" t="s">
        <v>292</v>
      </c>
      <c r="C20" s="85">
        <f>IFERROR(C17-C18,"N/A")</f>
        <v>7101398.1362546394</v>
      </c>
      <c r="D20" s="51">
        <f>IFERROR(C20/C17, "N/A")</f>
        <v>0.96533629701969503</v>
      </c>
      <c r="E20" s="85">
        <f>IFERROR(E17-E18, "N/A")</f>
        <v>7101398.1362546403</v>
      </c>
      <c r="F20" s="52">
        <f>IFERROR(E20/E17, "N/A")</f>
        <v>0.96533629177073332</v>
      </c>
      <c r="G20" s="32"/>
    </row>
    <row r="21" spans="2:8" ht="30.75" thickBot="1" x14ac:dyDescent="0.3">
      <c r="B21" s="37"/>
      <c r="C21" s="53"/>
      <c r="D21" s="54" t="s">
        <v>293</v>
      </c>
      <c r="E21" s="39"/>
      <c r="F21" s="54" t="s">
        <v>293</v>
      </c>
    </row>
    <row r="22" spans="2:8" s="1" customFormat="1" ht="12.75" x14ac:dyDescent="0.2">
      <c r="B22" s="32"/>
      <c r="C22" s="31"/>
      <c r="D22" s="31"/>
      <c r="E22" s="31"/>
      <c r="F22" s="31"/>
      <c r="G22" s="31"/>
    </row>
  </sheetData>
  <sheetProtection algorithmName="SHA-512" hashValue="mwjK/bfu16J4JQy3DG57MtgNLg89gQsRMyHFaVAWcrm5F3LnXx486o2enmaTO+bZbioHvSNjFECuLLI+yWiqQQ==" saltValue="9Pqvdnxs8NlNgUlWaZkgHA==" spinCount="100000" sheet="1" objects="1" scenarios="1"/>
  <mergeCells count="3">
    <mergeCell ref="C16:D16"/>
    <mergeCell ref="E16:F16"/>
    <mergeCell ref="B3:F3"/>
  </mergeCells>
  <phoneticPr fontId="11" type="noConversion"/>
  <pageMargins left="1" right="1" top="0.81" bottom="0.5" header="0.5" footer="0.5"/>
  <pageSetup scale="41" orientation="portrait" horizontalDpi="4294967295" verticalDpi="4294967295"/>
  <headerFooter alignWithMargins="0">
    <oddHeader>&amp;C&amp;"Arial,Bold"&amp;12Cash Match Calculation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1"/>
  <sheetViews>
    <sheetView tabSelected="1" topLeftCell="A6" zoomScale="90" zoomScaleNormal="90" workbookViewId="0">
      <selection activeCell="E11" sqref="E11"/>
    </sheetView>
  </sheetViews>
  <sheetFormatPr defaultRowHeight="12.75" x14ac:dyDescent="0.2"/>
  <cols>
    <col min="1" max="1" width="4.5703125" customWidth="1"/>
    <col min="2" max="2" width="22.7109375" customWidth="1"/>
    <col min="3" max="3" width="21.140625" customWidth="1"/>
    <col min="4" max="4" width="12" customWidth="1"/>
    <col min="5" max="5" width="52.7109375" customWidth="1"/>
    <col min="6" max="6" width="16.7109375" customWidth="1"/>
    <col min="7" max="7" width="35.85546875" customWidth="1"/>
    <col min="8" max="8" width="17.7109375" customWidth="1"/>
    <col min="9" max="9" width="46" customWidth="1"/>
    <col min="10" max="10" width="17" customWidth="1"/>
    <col min="11" max="11" width="47" customWidth="1"/>
    <col min="12" max="12" width="13.5703125" customWidth="1"/>
  </cols>
  <sheetData>
    <row r="1" spans="1:16" ht="18" x14ac:dyDescent="0.2">
      <c r="A1" s="221" t="s">
        <v>14</v>
      </c>
      <c r="B1" s="221"/>
      <c r="C1" s="224"/>
      <c r="D1" s="257"/>
      <c r="E1" s="257"/>
      <c r="F1" s="258"/>
    </row>
    <row r="2" spans="1:16" ht="18" x14ac:dyDescent="0.2">
      <c r="A2" s="221" t="s">
        <v>294</v>
      </c>
      <c r="B2" s="221"/>
      <c r="C2" s="226"/>
      <c r="D2" s="226"/>
      <c r="E2" s="227"/>
      <c r="F2" s="258"/>
    </row>
    <row r="3" spans="1:16" ht="18.75" thickBot="1" x14ac:dyDescent="0.25">
      <c r="A3" s="221"/>
    </row>
    <row r="4" spans="1:16" s="1" customFormat="1" ht="16.5" thickBot="1" x14ac:dyDescent="0.3">
      <c r="A4" s="259" t="s">
        <v>16</v>
      </c>
      <c r="B4" s="116"/>
      <c r="C4" s="116"/>
      <c r="D4" s="116"/>
      <c r="E4" s="116"/>
      <c r="F4" s="116"/>
      <c r="G4" s="116"/>
      <c r="H4" s="116"/>
      <c r="I4" s="116"/>
      <c r="J4" s="116"/>
      <c r="K4" s="116"/>
      <c r="L4" s="117"/>
      <c r="M4" s="260"/>
      <c r="N4" s="260"/>
      <c r="O4" s="260"/>
      <c r="P4" s="260"/>
    </row>
    <row r="5" spans="1:16" s="113" customFormat="1" ht="24" customHeight="1" x14ac:dyDescent="0.2">
      <c r="A5" s="261" t="s">
        <v>17</v>
      </c>
      <c r="B5" s="262"/>
      <c r="C5" s="262"/>
      <c r="D5" s="262"/>
      <c r="E5" s="262"/>
      <c r="F5" s="262"/>
      <c r="G5" s="262"/>
      <c r="H5" s="262"/>
      <c r="I5" s="262"/>
      <c r="J5" s="262"/>
      <c r="K5" s="262"/>
      <c r="L5" s="263"/>
    </row>
    <row r="6" spans="1:16" ht="72" customHeight="1" thickBot="1" x14ac:dyDescent="0.25">
      <c r="A6" s="343" t="s">
        <v>295</v>
      </c>
      <c r="B6" s="344"/>
      <c r="C6" s="344"/>
      <c r="D6" s="344"/>
      <c r="E6" s="344"/>
      <c r="F6" s="344"/>
      <c r="G6" s="344"/>
      <c r="H6" s="264"/>
      <c r="I6" s="264"/>
      <c r="J6" s="264"/>
      <c r="K6" s="264"/>
      <c r="L6" s="265"/>
    </row>
    <row r="7" spans="1:16" ht="24.95" customHeight="1" thickBot="1" x14ac:dyDescent="0.25">
      <c r="A7" s="266"/>
      <c r="B7" s="266"/>
      <c r="C7" s="266"/>
      <c r="D7" s="266"/>
      <c r="E7" s="266"/>
      <c r="F7" s="266"/>
      <c r="G7" s="266"/>
      <c r="H7" s="266"/>
      <c r="I7" s="266"/>
      <c r="J7" s="266"/>
      <c r="K7" s="266"/>
      <c r="L7" s="266"/>
    </row>
    <row r="8" spans="1:16" ht="51.6" customHeight="1" x14ac:dyDescent="0.2">
      <c r="A8" s="267"/>
      <c r="B8" s="267" t="s">
        <v>296</v>
      </c>
      <c r="C8" s="267" t="s">
        <v>297</v>
      </c>
      <c r="D8" s="267" t="s">
        <v>298</v>
      </c>
      <c r="E8" s="267" t="s">
        <v>299</v>
      </c>
      <c r="F8" s="267" t="s">
        <v>300</v>
      </c>
      <c r="G8" s="268" t="s">
        <v>301</v>
      </c>
      <c r="H8" s="269" t="s">
        <v>302</v>
      </c>
      <c r="I8" s="270" t="s">
        <v>303</v>
      </c>
      <c r="J8" s="269" t="s">
        <v>304</v>
      </c>
      <c r="K8" s="271" t="s">
        <v>305</v>
      </c>
      <c r="L8" s="270" t="s">
        <v>306</v>
      </c>
      <c r="N8" s="272"/>
    </row>
    <row r="9" spans="1:16" ht="21" customHeight="1" x14ac:dyDescent="0.2">
      <c r="A9" s="273" t="s">
        <v>307</v>
      </c>
      <c r="B9" s="273"/>
      <c r="C9" s="273"/>
      <c r="D9" s="273"/>
      <c r="E9" s="273"/>
      <c r="F9" s="273"/>
      <c r="G9" s="274"/>
      <c r="H9" s="275"/>
      <c r="I9" s="276"/>
      <c r="J9" s="275"/>
      <c r="K9" s="273"/>
      <c r="L9" s="276"/>
    </row>
    <row r="10" spans="1:16" ht="164.25" customHeight="1" x14ac:dyDescent="0.2">
      <c r="A10" s="339">
        <v>1</v>
      </c>
      <c r="B10" s="340" t="s">
        <v>308</v>
      </c>
      <c r="C10" s="342" t="s">
        <v>309</v>
      </c>
      <c r="D10" s="277" t="s">
        <v>310</v>
      </c>
      <c r="E10" s="277" t="s">
        <v>311</v>
      </c>
      <c r="F10" s="277" t="s">
        <v>312</v>
      </c>
      <c r="G10" s="277" t="s">
        <v>313</v>
      </c>
      <c r="H10" s="278">
        <v>1404</v>
      </c>
      <c r="I10" s="279" t="s">
        <v>314</v>
      </c>
      <c r="J10" s="280">
        <v>1856</v>
      </c>
      <c r="K10" s="279"/>
      <c r="L10" s="281">
        <f>J10/1750</f>
        <v>1.0605714285714285</v>
      </c>
    </row>
    <row r="11" spans="1:16" ht="164.25" customHeight="1" x14ac:dyDescent="0.2">
      <c r="A11" s="339"/>
      <c r="B11" s="341"/>
      <c r="C11" s="342"/>
      <c r="D11" s="277" t="s">
        <v>315</v>
      </c>
      <c r="E11" s="277" t="s">
        <v>316</v>
      </c>
      <c r="F11" s="277" t="s">
        <v>317</v>
      </c>
      <c r="G11" s="277" t="s">
        <v>313</v>
      </c>
      <c r="H11" s="278">
        <v>672</v>
      </c>
      <c r="I11" s="279" t="s">
        <v>314</v>
      </c>
      <c r="J11" s="282">
        <v>874</v>
      </c>
      <c r="K11" s="279"/>
      <c r="L11" s="281">
        <f>J11/800</f>
        <v>1.0925</v>
      </c>
    </row>
    <row r="12" spans="1:16" ht="164.25" customHeight="1" x14ac:dyDescent="0.2">
      <c r="A12" s="339">
        <v>2</v>
      </c>
      <c r="B12" s="340" t="s">
        <v>308</v>
      </c>
      <c r="C12" s="342" t="s">
        <v>309</v>
      </c>
      <c r="D12" s="277" t="s">
        <v>310</v>
      </c>
      <c r="E12" s="277" t="s">
        <v>318</v>
      </c>
      <c r="F12" s="277" t="s">
        <v>319</v>
      </c>
      <c r="G12" s="277" t="s">
        <v>313</v>
      </c>
      <c r="H12" s="278">
        <v>562</v>
      </c>
      <c r="I12" s="279" t="s">
        <v>314</v>
      </c>
      <c r="J12" s="282">
        <v>774</v>
      </c>
      <c r="K12" s="279"/>
      <c r="L12" s="281">
        <f>J12/770</f>
        <v>1.0051948051948052</v>
      </c>
    </row>
    <row r="13" spans="1:16" ht="164.25" customHeight="1" x14ac:dyDescent="0.2">
      <c r="A13" s="339"/>
      <c r="B13" s="341"/>
      <c r="C13" s="342"/>
      <c r="D13" s="277" t="s">
        <v>315</v>
      </c>
      <c r="E13" s="277" t="s">
        <v>320</v>
      </c>
      <c r="F13" s="277" t="s">
        <v>321</v>
      </c>
      <c r="G13" s="277" t="s">
        <v>313</v>
      </c>
      <c r="H13" s="278">
        <v>403</v>
      </c>
      <c r="I13" s="279" t="s">
        <v>314</v>
      </c>
      <c r="J13" s="282">
        <v>552</v>
      </c>
      <c r="K13" s="279"/>
      <c r="L13" s="281">
        <f>J13/579</f>
        <v>0.95336787564766834</v>
      </c>
    </row>
    <row r="14" spans="1:16" ht="164.25" customHeight="1" x14ac:dyDescent="0.2">
      <c r="A14" s="339">
        <v>3</v>
      </c>
      <c r="B14" s="340" t="s">
        <v>308</v>
      </c>
      <c r="C14" s="342" t="s">
        <v>309</v>
      </c>
      <c r="D14" s="277" t="s">
        <v>310</v>
      </c>
      <c r="E14" s="277" t="s">
        <v>322</v>
      </c>
      <c r="F14" s="277" t="s">
        <v>323</v>
      </c>
      <c r="G14" s="277" t="s">
        <v>313</v>
      </c>
      <c r="H14" s="278">
        <v>10</v>
      </c>
      <c r="I14" s="279" t="s">
        <v>324</v>
      </c>
      <c r="J14" s="278">
        <v>19</v>
      </c>
      <c r="K14" s="279" t="s">
        <v>325</v>
      </c>
      <c r="L14" s="281">
        <f>J14/40</f>
        <v>0.47499999999999998</v>
      </c>
    </row>
    <row r="15" spans="1:16" ht="164.25" customHeight="1" x14ac:dyDescent="0.2">
      <c r="A15" s="339"/>
      <c r="B15" s="341"/>
      <c r="C15" s="342"/>
      <c r="D15" s="277" t="s">
        <v>315</v>
      </c>
      <c r="E15" s="277" t="s">
        <v>326</v>
      </c>
      <c r="F15" s="277" t="s">
        <v>327</v>
      </c>
      <c r="G15" s="277" t="s">
        <v>328</v>
      </c>
      <c r="H15" s="278">
        <v>10</v>
      </c>
      <c r="I15" s="279" t="s">
        <v>329</v>
      </c>
      <c r="J15" s="278">
        <v>19</v>
      </c>
      <c r="K15" s="283" t="s">
        <v>330</v>
      </c>
      <c r="L15" s="281">
        <f>J15/36</f>
        <v>0.52777777777777779</v>
      </c>
    </row>
    <row r="16" spans="1:16" ht="24" customHeight="1" x14ac:dyDescent="0.2">
      <c r="A16" s="273" t="s">
        <v>331</v>
      </c>
      <c r="B16" s="273"/>
      <c r="C16" s="273"/>
      <c r="D16" s="273"/>
      <c r="E16" s="273"/>
      <c r="F16" s="273"/>
      <c r="G16" s="274"/>
      <c r="H16" s="275"/>
      <c r="I16" s="276"/>
      <c r="J16" s="275"/>
      <c r="K16" s="273"/>
      <c r="L16" s="276"/>
    </row>
    <row r="17" spans="1:12" ht="39.950000000000003" customHeight="1" x14ac:dyDescent="0.2">
      <c r="A17" s="339">
        <v>1</v>
      </c>
      <c r="B17" s="348"/>
      <c r="C17" s="348"/>
      <c r="D17" s="284"/>
      <c r="E17" s="284"/>
      <c r="F17" s="284"/>
      <c r="G17" s="284"/>
      <c r="H17" s="278"/>
      <c r="I17" s="285"/>
      <c r="J17" s="278"/>
      <c r="K17" s="286"/>
      <c r="L17" s="287"/>
    </row>
    <row r="18" spans="1:12" ht="39.950000000000003" customHeight="1" x14ac:dyDescent="0.2">
      <c r="A18" s="339"/>
      <c r="B18" s="341"/>
      <c r="C18" s="341"/>
      <c r="D18" s="284"/>
      <c r="E18" s="284"/>
      <c r="F18" s="288"/>
      <c r="G18" s="284"/>
      <c r="H18" s="278"/>
      <c r="I18" s="285"/>
      <c r="J18" s="278"/>
      <c r="K18" s="286"/>
      <c r="L18" s="287"/>
    </row>
    <row r="19" spans="1:12" ht="39.950000000000003" customHeight="1" x14ac:dyDescent="0.2">
      <c r="A19" s="339">
        <v>2</v>
      </c>
      <c r="B19" s="349"/>
      <c r="C19" s="351"/>
      <c r="D19" s="289"/>
      <c r="E19" s="290"/>
      <c r="F19" s="289"/>
      <c r="G19" s="291"/>
      <c r="H19" s="278"/>
      <c r="I19" s="285"/>
      <c r="J19" s="278"/>
      <c r="K19" s="286"/>
      <c r="L19" s="287"/>
    </row>
    <row r="20" spans="1:12" ht="58.5" customHeight="1" x14ac:dyDescent="0.2">
      <c r="A20" s="339"/>
      <c r="B20" s="350"/>
      <c r="C20" s="352"/>
      <c r="D20" s="289"/>
      <c r="E20" s="290"/>
      <c r="F20" s="292"/>
      <c r="G20" s="289"/>
      <c r="H20" s="278"/>
      <c r="I20" s="285"/>
      <c r="J20" s="278"/>
      <c r="K20" s="286"/>
      <c r="L20" s="287"/>
    </row>
    <row r="21" spans="1:12" ht="39.950000000000003" customHeight="1" x14ac:dyDescent="0.2">
      <c r="A21" s="339">
        <v>3</v>
      </c>
      <c r="B21" s="345"/>
      <c r="C21" s="347"/>
      <c r="D21" s="289"/>
      <c r="E21" s="289"/>
      <c r="F21" s="289"/>
      <c r="G21" s="293"/>
      <c r="H21" s="278"/>
      <c r="I21" s="285"/>
      <c r="J21" s="278"/>
      <c r="K21" s="286"/>
      <c r="L21" s="287"/>
    </row>
    <row r="22" spans="1:12" ht="39.950000000000003" customHeight="1" thickBot="1" x14ac:dyDescent="0.25">
      <c r="A22" s="339"/>
      <c r="B22" s="346"/>
      <c r="C22" s="347"/>
      <c r="D22" s="289"/>
      <c r="E22" s="289"/>
      <c r="F22" s="289"/>
      <c r="G22" s="293"/>
      <c r="H22" s="294"/>
      <c r="I22" s="295"/>
      <c r="J22" s="294"/>
      <c r="K22" s="296"/>
      <c r="L22" s="297"/>
    </row>
    <row r="23" spans="1:12" x14ac:dyDescent="0.2">
      <c r="A23" s="258"/>
    </row>
    <row r="26" spans="1:12" x14ac:dyDescent="0.2">
      <c r="C26" s="298"/>
      <c r="D26" s="298"/>
      <c r="E26" s="298"/>
    </row>
    <row r="27" spans="1:12" x14ac:dyDescent="0.2">
      <c r="D27" s="299"/>
      <c r="E27" s="258"/>
    </row>
    <row r="28" spans="1:12" x14ac:dyDescent="0.2">
      <c r="C28" s="258"/>
      <c r="D28" s="299"/>
      <c r="E28" s="258"/>
    </row>
    <row r="29" spans="1:12" x14ac:dyDescent="0.2">
      <c r="C29" s="299"/>
      <c r="D29" s="299"/>
      <c r="E29" s="258"/>
    </row>
    <row r="30" spans="1:12" x14ac:dyDescent="0.2">
      <c r="C30" s="299"/>
      <c r="D30" s="299"/>
      <c r="E30" s="299"/>
    </row>
    <row r="31" spans="1:12" x14ac:dyDescent="0.2">
      <c r="D31" s="299"/>
    </row>
  </sheetData>
  <sheetProtection algorithmName="SHA-512" hashValue="+Q99lKH6ytW+rsuai7Cpxh034nJY+4ci4gc86eabIooFJTfR82t1iPFWzoPcsQarGHPiJyz3jSyG9+TeEt3Veg==" saltValue="69023EQWh/Fh5G7tRPHZhg==" spinCount="100000" sheet="1" objects="1" scenarios="1"/>
  <dataConsolidate/>
  <mergeCells count="19">
    <mergeCell ref="A14:A15"/>
    <mergeCell ref="B14:B15"/>
    <mergeCell ref="C14:C15"/>
    <mergeCell ref="A21:A22"/>
    <mergeCell ref="B21:B22"/>
    <mergeCell ref="C21:C22"/>
    <mergeCell ref="A17:A18"/>
    <mergeCell ref="B17:B18"/>
    <mergeCell ref="C17:C18"/>
    <mergeCell ref="A19:A20"/>
    <mergeCell ref="B19:B20"/>
    <mergeCell ref="C19:C20"/>
    <mergeCell ref="A10:A11"/>
    <mergeCell ref="B10:B11"/>
    <mergeCell ref="C10:C11"/>
    <mergeCell ref="A6:G6"/>
    <mergeCell ref="A12:A13"/>
    <mergeCell ref="B12:B13"/>
    <mergeCell ref="C12:C1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SharingLinks.9d2aab56-9f21-41af-aaec-668d6c564afd.Flexible.0368a3ac-35b1-411d-bebf-69b478ce4536</DisplayName>
        <AccountId>15</AccountId>
        <AccountType/>
      </UserInfo>
      <UserInfo>
        <DisplayName>SharingLinks.8c65eb13-7676-43a6-be84-0afa286af387.Flexible.9beb561e-8cbb-483e-8cf8-1ec59069809a</DisplayName>
        <AccountId>24</AccountId>
        <AccountType/>
      </UserInfo>
      <UserInfo>
        <DisplayName>Nicole Liner-Jigamian</DisplayName>
        <AccountId>372</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2.xml><?xml version="1.0" encoding="utf-8"?>
<ds:datastoreItem xmlns:ds="http://schemas.openxmlformats.org/officeDocument/2006/customXml" ds:itemID="{90BF41C1-9F06-449C-B640-D2376BC653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D4D97A-7F06-4E8D-98A9-7DE62E8788CF}">
  <ds:schemaRefs>
    <ds:schemaRef ds:uri="http://www.w3.org/XML/1998/namespace"/>
    <ds:schemaRef ds:uri="http://schemas.microsoft.com/office/2006/metadata/properties"/>
    <ds:schemaRef ds:uri="http://purl.org/dc/terms/"/>
    <ds:schemaRef ds:uri="http://purl.org/dc/elements/1.1/"/>
    <ds:schemaRef ds:uri="c503424b-3e12-4ddd-ab41-5c8973ad5bb3"/>
    <ds:schemaRef ds:uri="http://schemas.microsoft.com/office/infopath/2007/PartnerControls"/>
    <ds:schemaRef ds:uri="http://schemas.microsoft.com/office/2006/documentManagement/types"/>
    <ds:schemaRef ds:uri="http://schemas.openxmlformats.org/package/2006/metadata/core-properties"/>
    <ds:schemaRef ds:uri="bdb8ef80-3d76-4f2b-ba95-731db74cbb70"/>
    <ds:schemaRef ds:uri="http://purl.org/dc/dcmitype/"/>
  </ds:schemaRefs>
</ds:datastoreItem>
</file>

<file path=customXml/itemProps4.xml><?xml version="1.0" encoding="utf-8"?>
<ds:datastoreItem xmlns:ds="http://schemas.openxmlformats.org/officeDocument/2006/customXml" ds:itemID="{6DCC06EF-B43B-4BD3-92E2-8FC8B0FB07E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CASH MATCH</vt:lpstr>
      <vt:lpstr>PROGRAM EVALUATION</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