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545" documentId="11_49F9BF6AF117BF0B3C1957982AAF55155E2BAB54" xr6:coauthVersionLast="47" xr6:coauthVersionMax="47" xr10:uidLastSave="{CD7F4FF4-9A16-4946-84CE-29B30C40F397}"/>
  <workbookProtection workbookAlgorithmName="SHA-512" workbookHashValue="CXU5T9gLHr3qy8l/lnzDR1cSvQ9Pnif3GwaS6A64xubTNLRiRmcD3AfWZA5hConFXHMdU4bofUJl8j4cU9af/Q==" workbookSaltValue="bggbNf03CXFEaNRIh8DAFg==" workbookSpinCount="100000" lockStructure="1"/>
  <bookViews>
    <workbookView xWindow="-120" yWindow="-120" windowWidth="29040" windowHeight="15720" tabRatio="605" activeTab="1" xr2:uid="{00000000-000D-0000-FFFF-FFFF00000000}"/>
  </bookViews>
  <sheets>
    <sheet name="INSTRUCTIONS" sheetId="29" r:id="rId1"/>
    <sheet name="FISCAL REPORT" sheetId="36" r:id="rId2"/>
    <sheet name="CASH MATCH" sheetId="14" r:id="rId3"/>
    <sheet name="PARTICIPANT DEMOGRAPHICS" sheetId="35" r:id="rId4"/>
    <sheet name="PROGRAM EVALUATION" sheetId="37" r:id="rId5"/>
    <sheet name="ESRI_MAPINFO_SHEET" sheetId="31" state="veryHidden" r:id="rId6"/>
  </sheets>
  <definedNames>
    <definedName name="Health_and_Wellness" localSheetId="4">'PROGRAM EVALUATION'!$E$27:$E$31</definedName>
    <definedName name="Health_and_Wellness">#REF!</definedName>
    <definedName name="Lifelong_Learning" localSheetId="4">'PROGRAM EVALUATION'!$C$27:$C$31</definedName>
    <definedName name="Lifelong_Learning">#REF!</definedName>
    <definedName name="Stability" localSheetId="4">'PROGRAM EVALUATION'!$D$27:$D$31</definedName>
    <definedName name="Stabili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0" i="36" l="1"/>
  <c r="N61" i="36" s="1"/>
  <c r="H60" i="36"/>
  <c r="H61" i="36" s="1"/>
  <c r="G60" i="36"/>
  <c r="I60" i="36" s="1"/>
  <c r="D60" i="36"/>
  <c r="K59" i="36"/>
  <c r="L59" i="36" s="1"/>
  <c r="M59" i="36" s="1"/>
  <c r="I59" i="36"/>
  <c r="K49" i="36"/>
  <c r="L49" i="36" s="1"/>
  <c r="M49" i="36" s="1"/>
  <c r="I49" i="36"/>
  <c r="K106" i="36"/>
  <c r="K99" i="36"/>
  <c r="K86" i="36"/>
  <c r="K79" i="36"/>
  <c r="I61" i="36" l="1"/>
  <c r="G61" i="36"/>
  <c r="N79" i="36"/>
  <c r="N92" i="36"/>
  <c r="N91" i="36"/>
  <c r="L58" i="36"/>
  <c r="M58" i="36" s="1"/>
  <c r="I58" i="36"/>
  <c r="N95" i="36"/>
  <c r="I91" i="36"/>
  <c r="G65" i="36"/>
  <c r="H65" i="36"/>
  <c r="B26" i="36"/>
  <c r="I57" i="36"/>
  <c r="I56" i="36"/>
  <c r="K48" i="36"/>
  <c r="K98" i="36"/>
  <c r="K97" i="36"/>
  <c r="K96" i="36"/>
  <c r="K94" i="36"/>
  <c r="K93" i="36"/>
  <c r="K92" i="36"/>
  <c r="K91" i="36"/>
  <c r="K90" i="36"/>
  <c r="K89" i="36"/>
  <c r="K88" i="36"/>
  <c r="K87" i="36"/>
  <c r="K77" i="36"/>
  <c r="K78" i="36"/>
  <c r="I50" i="36"/>
  <c r="I78" i="36"/>
  <c r="J95" i="36"/>
  <c r="K95" i="36" s="1"/>
  <c r="J52" i="36"/>
  <c r="K52" i="36" s="1"/>
  <c r="J70" i="36"/>
  <c r="K70" i="36" s="1"/>
  <c r="J69" i="36"/>
  <c r="K69" i="36" s="1"/>
  <c r="J68" i="36"/>
  <c r="K68" i="36" s="1"/>
  <c r="J67" i="36"/>
  <c r="K67" i="36" s="1"/>
  <c r="J66" i="36"/>
  <c r="K66" i="36" s="1"/>
  <c r="L56" i="36" l="1"/>
  <c r="M56" i="36" s="1"/>
  <c r="L57" i="36"/>
  <c r="M57" i="36" s="1"/>
  <c r="J123" i="36"/>
  <c r="K123" i="36" s="1"/>
  <c r="J55" i="36"/>
  <c r="K55" i="36" s="1"/>
  <c r="J54" i="36"/>
  <c r="K54" i="36" s="1"/>
  <c r="J53" i="36"/>
  <c r="K53" i="36" s="1"/>
  <c r="J51" i="36"/>
  <c r="K51" i="36" s="1"/>
  <c r="G42" i="35" l="1"/>
  <c r="G41" i="35"/>
  <c r="G40" i="35"/>
  <c r="J50" i="36" l="1"/>
  <c r="J60" i="36" s="1"/>
  <c r="J61" i="36" s="1"/>
  <c r="K50" i="36" l="1"/>
  <c r="L95" i="36"/>
  <c r="M95" i="36" s="1"/>
  <c r="I95" i="36"/>
  <c r="L94" i="36"/>
  <c r="M94" i="36" s="1"/>
  <c r="I94" i="36"/>
  <c r="L93" i="36"/>
  <c r="M93" i="36" s="1"/>
  <c r="I93" i="36"/>
  <c r="L92" i="36"/>
  <c r="M92" i="36" s="1"/>
  <c r="L91" i="36"/>
  <c r="M91" i="36" s="1"/>
  <c r="L90" i="36"/>
  <c r="M90" i="36" s="1"/>
  <c r="I90" i="36"/>
  <c r="L89" i="36"/>
  <c r="M89" i="36" s="1"/>
  <c r="I89" i="36"/>
  <c r="L88" i="36"/>
  <c r="M88" i="36" s="1"/>
  <c r="I88" i="36"/>
  <c r="L87" i="36"/>
  <c r="M87" i="36" s="1"/>
  <c r="I87" i="36"/>
  <c r="L78" i="36"/>
  <c r="M78" i="36" s="1"/>
  <c r="L79" i="36"/>
  <c r="M79" i="36" s="1"/>
  <c r="I79" i="36"/>
  <c r="L68" i="36"/>
  <c r="M68" i="36" s="1"/>
  <c r="I68" i="36"/>
  <c r="L52" i="36"/>
  <c r="M52" i="36" s="1"/>
  <c r="I52" i="36"/>
  <c r="L51" i="36"/>
  <c r="M51" i="36" s="1"/>
  <c r="I51" i="36"/>
  <c r="L106" i="36"/>
  <c r="M106" i="36" s="1"/>
  <c r="I106" i="36"/>
  <c r="L99" i="36"/>
  <c r="M99" i="36" s="1"/>
  <c r="I99" i="36"/>
  <c r="L98" i="36"/>
  <c r="M98" i="36" s="1"/>
  <c r="I98" i="36"/>
  <c r="L97" i="36"/>
  <c r="M97" i="36" s="1"/>
  <c r="I97" i="36"/>
  <c r="L96" i="36"/>
  <c r="M96" i="36" s="1"/>
  <c r="I96" i="36"/>
  <c r="L55" i="36"/>
  <c r="M55" i="36" s="1"/>
  <c r="I55" i="36"/>
  <c r="L54" i="36"/>
  <c r="M54" i="36" s="1"/>
  <c r="I54" i="36"/>
  <c r="L53" i="36"/>
  <c r="M53" i="36" s="1"/>
  <c r="I53" i="36"/>
  <c r="L69" i="36"/>
  <c r="M69" i="36" s="1"/>
  <c r="I69" i="36"/>
  <c r="K60" i="36" l="1"/>
  <c r="L50" i="36"/>
  <c r="M50" i="36" s="1"/>
  <c r="B6" i="14"/>
  <c r="B5" i="14"/>
  <c r="L60" i="36" l="1"/>
  <c r="K61" i="36"/>
  <c r="H44" i="35"/>
  <c r="G44" i="35"/>
  <c r="C38" i="35"/>
  <c r="B38" i="35"/>
  <c r="H55" i="35"/>
  <c r="G55" i="35"/>
  <c r="C57" i="35"/>
  <c r="B57" i="35"/>
  <c r="M60" i="36" l="1"/>
  <c r="L61" i="36"/>
  <c r="E10" i="14"/>
  <c r="E9" i="14"/>
  <c r="C10" i="14"/>
  <c r="C9" i="14"/>
  <c r="G28" i="35"/>
  <c r="F28" i="35"/>
  <c r="E28" i="35"/>
  <c r="N125" i="36"/>
  <c r="N25" i="36" s="1"/>
  <c r="K125" i="36"/>
  <c r="K25" i="36" s="1"/>
  <c r="J125" i="36"/>
  <c r="J25" i="36" s="1"/>
  <c r="H125" i="36"/>
  <c r="H25" i="36" s="1"/>
  <c r="G125" i="36"/>
  <c r="G25" i="36" s="1"/>
  <c r="L124" i="36"/>
  <c r="M124" i="36" s="1"/>
  <c r="I124" i="36"/>
  <c r="L123" i="36"/>
  <c r="I123" i="36"/>
  <c r="N122" i="36"/>
  <c r="M122" i="36"/>
  <c r="L122" i="36"/>
  <c r="K122" i="36"/>
  <c r="J122" i="36"/>
  <c r="I122" i="36"/>
  <c r="H122" i="36"/>
  <c r="G122" i="36"/>
  <c r="N116" i="36"/>
  <c r="N24" i="36" s="1"/>
  <c r="K116" i="36"/>
  <c r="K24" i="36" s="1"/>
  <c r="J116" i="36"/>
  <c r="J24" i="36" s="1"/>
  <c r="H116" i="36"/>
  <c r="H24" i="36" s="1"/>
  <c r="G116" i="36"/>
  <c r="G24" i="36" s="1"/>
  <c r="L115" i="36"/>
  <c r="M115" i="36" s="1"/>
  <c r="I115" i="36"/>
  <c r="L114" i="36"/>
  <c r="M114" i="36" s="1"/>
  <c r="I114" i="36"/>
  <c r="L113" i="36"/>
  <c r="M113" i="36" s="1"/>
  <c r="I113" i="36"/>
  <c r="N112" i="36"/>
  <c r="M112" i="36"/>
  <c r="L112" i="36"/>
  <c r="K112" i="36"/>
  <c r="J112" i="36"/>
  <c r="I112" i="36"/>
  <c r="H112" i="36"/>
  <c r="G112" i="36"/>
  <c r="N108" i="36"/>
  <c r="N23" i="36" s="1"/>
  <c r="K108" i="36"/>
  <c r="K23" i="36" s="1"/>
  <c r="J108" i="36"/>
  <c r="J23" i="36" s="1"/>
  <c r="H108" i="36"/>
  <c r="H23" i="36" s="1"/>
  <c r="G108" i="36"/>
  <c r="G23" i="36" s="1"/>
  <c r="L107" i="36"/>
  <c r="M107" i="36" s="1"/>
  <c r="I107" i="36"/>
  <c r="N105" i="36"/>
  <c r="M105" i="36"/>
  <c r="L105" i="36"/>
  <c r="K105" i="36"/>
  <c r="J105" i="36"/>
  <c r="I105" i="36"/>
  <c r="H105" i="36"/>
  <c r="G105" i="36"/>
  <c r="N101" i="36"/>
  <c r="N22" i="36" s="1"/>
  <c r="K101" i="36"/>
  <c r="K22" i="36" s="1"/>
  <c r="J101" i="36"/>
  <c r="J22" i="36" s="1"/>
  <c r="H101" i="36"/>
  <c r="H22" i="36" s="1"/>
  <c r="G101" i="36"/>
  <c r="G22" i="36" s="1"/>
  <c r="L100" i="36"/>
  <c r="M100" i="36" s="1"/>
  <c r="I100" i="36"/>
  <c r="L86" i="36"/>
  <c r="I86" i="36"/>
  <c r="N85" i="36"/>
  <c r="M85" i="36"/>
  <c r="L85" i="36"/>
  <c r="K85" i="36"/>
  <c r="J85" i="36"/>
  <c r="I85" i="36"/>
  <c r="H85" i="36"/>
  <c r="G85" i="36"/>
  <c r="N81" i="36"/>
  <c r="N21" i="36" s="1"/>
  <c r="K81" i="36"/>
  <c r="K21" i="36" s="1"/>
  <c r="J81" i="36"/>
  <c r="J21" i="36" s="1"/>
  <c r="H81" i="36"/>
  <c r="H21" i="36" s="1"/>
  <c r="G81" i="36"/>
  <c r="G21" i="36" s="1"/>
  <c r="L80" i="36"/>
  <c r="M80" i="36" s="1"/>
  <c r="I80" i="36"/>
  <c r="L77" i="36"/>
  <c r="M77" i="36" s="1"/>
  <c r="I77" i="36"/>
  <c r="N76" i="36"/>
  <c r="M76" i="36"/>
  <c r="L76" i="36"/>
  <c r="K76" i="36"/>
  <c r="J76" i="36"/>
  <c r="I76" i="36"/>
  <c r="H76" i="36"/>
  <c r="G76" i="36"/>
  <c r="N72" i="36"/>
  <c r="N20" i="36" s="1"/>
  <c r="K72" i="36"/>
  <c r="K20" i="36" s="1"/>
  <c r="J72" i="36"/>
  <c r="J20" i="36" s="1"/>
  <c r="H72" i="36"/>
  <c r="H20" i="36" s="1"/>
  <c r="G72" i="36"/>
  <c r="G20" i="36" s="1"/>
  <c r="L71" i="36"/>
  <c r="M71" i="36" s="1"/>
  <c r="I71" i="36"/>
  <c r="L70" i="36"/>
  <c r="M70" i="36" s="1"/>
  <c r="L67" i="36"/>
  <c r="M67" i="36" s="1"/>
  <c r="I67" i="36"/>
  <c r="L66" i="36"/>
  <c r="I66" i="36"/>
  <c r="N65" i="36"/>
  <c r="M65" i="36"/>
  <c r="L65" i="36"/>
  <c r="K65" i="36"/>
  <c r="J65" i="36"/>
  <c r="I65" i="36"/>
  <c r="N19" i="36"/>
  <c r="K19" i="36"/>
  <c r="J19" i="36"/>
  <c r="H19" i="36"/>
  <c r="G19" i="36"/>
  <c r="L48" i="36"/>
  <c r="I48" i="36"/>
  <c r="N47" i="36"/>
  <c r="M47" i="36"/>
  <c r="L47" i="36"/>
  <c r="K47" i="36"/>
  <c r="J47" i="36"/>
  <c r="I47" i="36"/>
  <c r="H47" i="36"/>
  <c r="G47" i="36"/>
  <c r="D26" i="36"/>
  <c r="D25" i="36"/>
  <c r="D24" i="36"/>
  <c r="D23" i="36"/>
  <c r="D22" i="36"/>
  <c r="D21" i="36"/>
  <c r="D20" i="36"/>
  <c r="D19" i="36"/>
  <c r="M48" i="36" l="1"/>
  <c r="I108" i="36"/>
  <c r="I23" i="36" s="1"/>
  <c r="I125" i="36"/>
  <c r="I25" i="36" s="1"/>
  <c r="I72" i="36"/>
  <c r="I20" i="36" s="1"/>
  <c r="K127" i="36"/>
  <c r="K26" i="36" s="1"/>
  <c r="L72" i="36"/>
  <c r="L20" i="36" s="1"/>
  <c r="M20" i="36" s="1"/>
  <c r="G127" i="36"/>
  <c r="G26" i="36" s="1"/>
  <c r="C14" i="14" s="1"/>
  <c r="N127" i="36"/>
  <c r="N26" i="36" s="1"/>
  <c r="E14" i="14" s="1"/>
  <c r="I81" i="36"/>
  <c r="I21" i="36" s="1"/>
  <c r="L125" i="36"/>
  <c r="M125" i="36" s="1"/>
  <c r="H127" i="36"/>
  <c r="F123" i="36" s="1"/>
  <c r="I19" i="36"/>
  <c r="L101" i="36"/>
  <c r="M101" i="36" s="1"/>
  <c r="I101" i="36"/>
  <c r="I116" i="36"/>
  <c r="I24" i="36" s="1"/>
  <c r="J127" i="36"/>
  <c r="J26" i="36" s="1"/>
  <c r="L81" i="36"/>
  <c r="M66" i="36"/>
  <c r="L108" i="36"/>
  <c r="L116" i="36"/>
  <c r="M86" i="36"/>
  <c r="M123" i="36"/>
  <c r="I22" i="36" l="1"/>
  <c r="I127" i="36"/>
  <c r="I26" i="36" s="1"/>
  <c r="L25" i="36"/>
  <c r="M25" i="36" s="1"/>
  <c r="M72" i="36"/>
  <c r="L22" i="36"/>
  <c r="M22" i="36" s="1"/>
  <c r="H26" i="36"/>
  <c r="D14" i="14" s="1"/>
  <c r="L24" i="36"/>
  <c r="M24" i="36" s="1"/>
  <c r="M116" i="36"/>
  <c r="L19" i="36"/>
  <c r="M19" i="36" s="1"/>
  <c r="M61" i="36"/>
  <c r="L23" i="36"/>
  <c r="M23" i="36" s="1"/>
  <c r="M108" i="36"/>
  <c r="M81" i="36"/>
  <c r="L21" i="36"/>
  <c r="M21" i="36" s="1"/>
  <c r="L127" i="36"/>
  <c r="L26" i="36" l="1"/>
  <c r="F14" i="14" s="1"/>
  <c r="M127" i="36"/>
  <c r="M26" i="36" l="1"/>
  <c r="B27" i="36"/>
  <c r="B28" i="36" s="1"/>
  <c r="D28" i="35" l="1"/>
  <c r="C28" i="35"/>
  <c r="B28" i="35"/>
  <c r="C18" i="14" l="1"/>
  <c r="E11" i="14"/>
  <c r="C11" i="14"/>
  <c r="C17" i="14" l="1"/>
  <c r="D17" i="14" s="1"/>
  <c r="E17" i="14" l="1"/>
  <c r="F17" i="14" s="1"/>
  <c r="D18" i="14"/>
  <c r="C20" i="14"/>
  <c r="D20" i="14" s="1"/>
  <c r="E18" i="14" l="1"/>
  <c r="E20" i="14" s="1"/>
  <c r="F18" i="14" l="1"/>
  <c r="F20" i="14"/>
</calcChain>
</file>

<file path=xl/sharedStrings.xml><?xml version="1.0" encoding="utf-8"?>
<sst xmlns="http://schemas.openxmlformats.org/spreadsheetml/2006/main" count="347" uniqueCount="267">
  <si>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</si>
  <si>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</si>
  <si>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</si>
  <si>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</si>
  <si>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</si>
  <si>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</si>
  <si>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</si>
  <si>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</si>
  <si>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</si>
  <si>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</si>
  <si>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</si>
  <si>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</si>
  <si>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</si>
  <si>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</si>
  <si>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</si>
  <si>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</si>
  <si>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</si>
  <si>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t xml:space="preserve">Input periodic data into the grey shaded cells, as described in the instructions below. All other cells are locked for editing. Cells containing formulas will automatically calculate. Please report any issues to </t>
    </r>
    <r>
      <rPr>
        <b/>
        <u/>
        <sz val="11"/>
        <rFont val="Arial"/>
        <family val="2"/>
      </rPr>
      <t>humanservices@santamonica.gov</t>
    </r>
    <r>
      <rPr>
        <sz val="11"/>
        <rFont val="Arial"/>
        <family val="2"/>
      </rPr>
      <t xml:space="preserve">  </t>
    </r>
  </si>
  <si>
    <r>
      <t xml:space="preserve">SECTION I: BUDGET SUMMARY: </t>
    </r>
    <r>
      <rPr>
        <sz val="10"/>
        <rFont val="Arial"/>
        <family val="2"/>
      </rPr>
      <t xml:space="preserve"> The Budget Summary section contains locked cells that will auto-populate as you complete Section III: Line Item Detail</t>
    </r>
  </si>
  <si>
    <r>
      <rPr>
        <b/>
        <sz val="10"/>
        <rFont val="Arial"/>
        <family val="2"/>
      </rPr>
      <t xml:space="preserve">REPORTING PERIOD:  </t>
    </r>
    <r>
      <rPr>
        <sz val="10"/>
        <rFont val="Arial"/>
        <family val="2"/>
      </rPr>
      <t>Use the drop-down box to select the appropriate reporting period (Mid-Year, or Year-End)</t>
    </r>
  </si>
  <si>
    <r>
      <rPr>
        <b/>
        <sz val="10"/>
        <rFont val="Arial"/>
        <family val="2"/>
      </rPr>
      <t xml:space="preserve">Total City Funds Received to Date: </t>
    </r>
    <r>
      <rPr>
        <sz val="10"/>
        <rFont val="Arial"/>
        <family val="2"/>
      </rPr>
      <t>Enter the amount of current year HSGP payments received to date</t>
    </r>
  </si>
  <si>
    <t>SECTION II: SUPPORTING DOCUMENTATION:</t>
  </si>
  <si>
    <r>
      <rPr>
        <b/>
        <sz val="10"/>
        <rFont val="Arial"/>
        <family val="2"/>
      </rPr>
      <t>DATE UPLOADED TO SHAREPOINT</t>
    </r>
    <r>
      <rPr>
        <sz val="10"/>
        <rFont val="Arial"/>
        <family val="2"/>
      </rPr>
      <t>:  Enter the date on which the required Supporting Documentation was uploaded/submitted for each reporting period</t>
    </r>
  </si>
  <si>
    <t xml:space="preserve"> </t>
  </si>
  <si>
    <t>SECTION III: LINE ITEM DETAIL</t>
  </si>
  <si>
    <r>
      <rPr>
        <b/>
        <sz val="10"/>
        <rFont val="Arial"/>
        <family val="2"/>
      </rPr>
      <t xml:space="preserve">HSGP MID-YEAR EXPEND (Column J): </t>
    </r>
    <r>
      <rPr>
        <sz val="10"/>
        <rFont val="Arial"/>
        <family val="2"/>
      </rPr>
      <t xml:space="preserve">Populate the grey shaded cells with year-to-date HSGP grant expenditures
</t>
    </r>
    <r>
      <rPr>
        <b/>
        <sz val="10"/>
        <rFont val="Arial"/>
        <family val="2"/>
      </rPr>
      <t>HSGP YEAR-END EXPEND (Column K):</t>
    </r>
    <r>
      <rPr>
        <sz val="10"/>
        <rFont val="Arial"/>
        <family val="2"/>
      </rPr>
      <t xml:space="preserve"> Populate the grey shaded cells with year-end HSGP grant expenditures
</t>
    </r>
    <r>
      <rPr>
        <b/>
        <sz val="10"/>
        <rFont val="Arial"/>
        <family val="2"/>
      </rPr>
      <t>YEAR-END TOTAL PROGRAM EXPEND (Column N)</t>
    </r>
    <r>
      <rPr>
        <sz val="10"/>
        <rFont val="Arial"/>
        <family val="2"/>
      </rPr>
      <t>: Populate the grey shaded cells with year-end Total Program Expenditures (includes expenditures from all funding sources)</t>
    </r>
  </si>
  <si>
    <r>
      <rPr>
        <b/>
        <i/>
        <sz val="10"/>
        <rFont val="Arial"/>
        <family val="2"/>
      </rPr>
      <t xml:space="preserve">Mid-year Agency Variance Report (Column O) / Year-end Agency Variance Report (Column Q): </t>
    </r>
    <r>
      <rPr>
        <sz val="10"/>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</si>
  <si>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</si>
  <si>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</si>
  <si>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</si>
  <si>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</si>
  <si>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</si>
  <si>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</si>
  <si>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</si>
  <si>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</si>
  <si>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</si>
  <si>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</si>
  <si>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WISE &amp; Healthy Aging</t>
  </si>
  <si>
    <t>PROGRAM NAME:</t>
  </si>
  <si>
    <t>Care Management</t>
  </si>
  <si>
    <t>REPORTING PERIOD:</t>
  </si>
  <si>
    <t>FY 2023-24 Program Budget: 7/1/23 - 6/30/24</t>
  </si>
  <si>
    <t>A. Total City Funds Received to Date:</t>
  </si>
  <si>
    <t>B. Total City Funds Expended to Date:</t>
  </si>
  <si>
    <t>C. Cash Balance (Line A - Line B):</t>
  </si>
  <si>
    <r>
      <t xml:space="preserve">SECTION II: SUPPORTING DOCUMENTATION: </t>
    </r>
    <r>
      <rPr>
        <sz val="1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</si>
  <si>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</si>
  <si>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</si>
  <si>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</si>
  <si>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</si>
  <si>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</si>
  <si>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Senior/Executive Management</t>
  </si>
  <si>
    <t>Mid-Year Report (1st Period): 7/1/23 - 12/31/23</t>
  </si>
  <si>
    <t>Administrative Support</t>
  </si>
  <si>
    <t>Year-End Report (2nd Period): 7/1/23 - 6/30/24</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</si>
  <si>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</si>
  <si>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</si>
  <si>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</si>
  <si>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</si>
  <si>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</si>
  <si>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</si>
  <si>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</si>
  <si>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</si>
  <si>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 FTE to Program</t>
  </si>
  <si>
    <t>Anat Louis</t>
  </si>
  <si>
    <t>VP of In Home Services</t>
  </si>
  <si>
    <t>Lisa DeBlois</t>
  </si>
  <si>
    <t>Lead Care Coordinator</t>
  </si>
  <si>
    <t>Devorah Reznik</t>
  </si>
  <si>
    <t>Care Coordinator</t>
  </si>
  <si>
    <t>Andrea Pettett</t>
  </si>
  <si>
    <t>Jenny Melgar</t>
  </si>
  <si>
    <t>Soccaro Garcia</t>
  </si>
  <si>
    <t>Sherilyn Pierce</t>
  </si>
  <si>
    <t>Esmerelda Amaral</t>
  </si>
  <si>
    <t>Rebecca Davis</t>
  </si>
  <si>
    <t>Alma Gustafsson</t>
  </si>
  <si>
    <t>Intake Coordinator</t>
  </si>
  <si>
    <t>Valerie Lopez</t>
  </si>
  <si>
    <t>1A.  Staff Salaries TOTAL</t>
  </si>
  <si>
    <t>1B.  Staff Fringe Benefits</t>
  </si>
  <si>
    <t>List each fringe benefit as a percentage of total staff salaries listed above (FICA, SUI, Workers’ Compensation, Medical Insurance, Retirement, etc.).</t>
  </si>
  <si>
    <t>Description</t>
  </si>
  <si>
    <t>FICA 7.65% of Gross Salary</t>
  </si>
  <si>
    <t>Worker's Compensation 1% of Gross Salary</t>
  </si>
  <si>
    <t>SUI .85% of Gross Salary</t>
  </si>
  <si>
    <t>Health Benefits 5% of Gross Salary</t>
  </si>
  <si>
    <t>Retirement Benefits .5% of Gross Salary</t>
  </si>
  <si>
    <t>1B.  Staff Fringe Benefits TOTAL</t>
  </si>
  <si>
    <t>2.  Consultant Services</t>
  </si>
  <si>
    <t>List each consultant to be funded. Include type of service, total budgeted expense, and any additional information to support the use of consultants as opposed to staff or volunteers.</t>
  </si>
  <si>
    <t>Audit Fees (69.91 rate x 7FTE x 12 months=  $5,872)</t>
  </si>
  <si>
    <t>Payroll Processing (22.25 rate x 7FTE x 12 months = $1,869)</t>
  </si>
  <si>
    <t>Contractor's General - IT Support ($185 per month x 12 months= $2,220)</t>
  </si>
  <si>
    <t>2.  Consultant Services TOTAL</t>
  </si>
  <si>
    <t>3.  Operating Expenses</t>
  </si>
  <si>
    <t>List all operating expenses [e.g., space/rent expense, utilities, facility maintenance, equipment, insurance, office supplies, printing, audit fees, travel, training, etc.].</t>
  </si>
  <si>
    <t>Occupancy [Utilities: Electric, Gas, Water, Trash] ($162,000[annual cost]x 11.30%[ % of sq ft occupied by Care Management]=$18,306)</t>
  </si>
  <si>
    <t>Security ($57,200 [annual costs] x 11.30% [% of sq ft occupied by Care Management] = $6,464)</t>
  </si>
  <si>
    <t>Janitorial ($38,400 [annual costs] x 11.30% [% of sq ft occupied by Care Management] = $4,339)</t>
  </si>
  <si>
    <t>Local Travel (2,500 miles x .655 per miles = $1,638)</t>
  </si>
  <si>
    <t>Insurance ($50 rate x 7FTE x 12 months= $1,250)</t>
  </si>
  <si>
    <t>Office Supplies (Approximately $30 per month x 12 months)</t>
  </si>
  <si>
    <t>Program Supplies (Approximately $300per month x 12 months)</t>
  </si>
  <si>
    <t>Telephone (65.51 rate x 7FTE x 12 months = $5,503)</t>
  </si>
  <si>
    <t>Postage &amp; Shipping (200 items x .60cent = $120)</t>
  </si>
  <si>
    <t>Copier Costs (10,000 copies x .10cent per copy = $1,000)</t>
  </si>
  <si>
    <t>Staff Training ($150 Per Training Sessions for 7 staff and 2 Volunteer Peer Counselors = $1,350)</t>
  </si>
  <si>
    <t>Publications &amp; Subscriptions [Online &amp; Printed] ($150 per month x 12 months = $1,800)</t>
  </si>
  <si>
    <t>Volunteer Stipends (1 Qty- 2nd year MSW Intern @ $5,000 and 2 Qty - Volunteer Peer Counselors @ $1,500 each = $3,000   Total = $8,000)</t>
  </si>
  <si>
    <t>Hiring Fees [Employment Ads, backgroung checks and testing] (Approximately $125 per month x 12 months= $1,500)</t>
  </si>
  <si>
    <t>3.  Operating Expenses TOTAL</t>
  </si>
  <si>
    <t>4.  Direct Client Support</t>
  </si>
  <si>
    <t>List any expenses associated with direct service provision, individual client support, scholarships, or stipends. Include estimated number of recipients.</t>
  </si>
  <si>
    <t>Scholarships - Adult Day Care</t>
  </si>
  <si>
    <t xml:space="preserve">($160 per day x 850 days = $136,000) </t>
  </si>
  <si>
    <t>4.  Scholarships/Stipends TOTAL</t>
  </si>
  <si>
    <t>5.  Other</t>
  </si>
  <si>
    <t>List any program expense not appropriate for any of the above line items and provide justification.</t>
  </si>
  <si>
    <t>5.  Other TOTAL</t>
  </si>
  <si>
    <t>6.  Indirect Administrative Costs</t>
  </si>
  <si>
    <t>Santa Monica Grant budgets may include Indirect Administrative Costs as follows:</t>
  </si>
  <si>
    <r>
      <t xml:space="preserve">Rates 10% or less of total SM grant:  </t>
    </r>
    <r>
      <rPr>
        <sz val="8"/>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</si>
  <si>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</si>
  <si>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</si>
  <si>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</si>
  <si>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</si>
  <si>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</si>
  <si>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</si>
  <si>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</si>
  <si>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</si>
  <si>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</si>
  <si>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</si>
  <si>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</si>
  <si>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</si>
  <si>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</si>
  <si>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</si>
  <si>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</si>
  <si>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</si>
  <si>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</si>
  <si>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</si>
  <si>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</si>
  <si>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</si>
  <si>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</si>
  <si>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</si>
  <si>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</si>
  <si>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</si>
  <si>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</si>
  <si>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</si>
  <si>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</si>
  <si>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</si>
  <si>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</si>
  <si>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</si>
  <si>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</si>
  <si>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</si>
  <si>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</si>
  <si>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</si>
  <si>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</si>
  <si>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</si>
  <si>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</si>
  <si>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</si>
  <si>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</si>
  <si>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</si>
  <si>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</si>
  <si>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</si>
  <si>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</si>
  <si>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</si>
  <si>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</si>
  <si>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</si>
  <si>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</si>
  <si>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Asian or Asian American</t>
  </si>
  <si>
    <t>Black or African-American</t>
  </si>
  <si>
    <t>Native Hawaiian or Other Pacific Islander</t>
  </si>
  <si>
    <t>White or Caucasian</t>
  </si>
  <si>
    <t>Multiple Race</t>
  </si>
  <si>
    <t>Race category not listed</t>
  </si>
  <si>
    <t>ZIP CODE
(Number of SMPP)</t>
  </si>
  <si>
    <t>Mid-Year
 Actuals</t>
  </si>
  <si>
    <t>AGE
(Number of SMPP)</t>
  </si>
  <si>
    <t>Mid-Year 
Actuals</t>
  </si>
  <si>
    <t>Year-End 
Actuals</t>
  </si>
  <si>
    <t>Under 5</t>
  </si>
  <si>
    <t>5-12</t>
  </si>
  <si>
    <t>13-17</t>
  </si>
  <si>
    <t>18-24</t>
  </si>
  <si>
    <t>25-34</t>
  </si>
  <si>
    <t>Other/Prefer not to answer</t>
  </si>
  <si>
    <t>35-44</t>
  </si>
  <si>
    <t>45-54</t>
  </si>
  <si>
    <t>55-61</t>
  </si>
  <si>
    <t>62-74</t>
  </si>
  <si>
    <t>75-84</t>
  </si>
  <si>
    <t>85+</t>
  </si>
  <si>
    <r>
      <t>GENDER IDENTITY (Number of SMPP)</t>
    </r>
    <r>
      <rPr>
        <sz val="11"/>
        <color theme="1"/>
        <rFont val="Arial"/>
        <family val="2"/>
      </rPr>
      <t xml:space="preserve">
</t>
    </r>
    <r>
      <rPr>
        <i/>
        <sz val="11"/>
        <color theme="1"/>
        <rFont val="Arial"/>
        <family val="2"/>
      </rPr>
      <t>Please provide the most detailed data available.</t>
    </r>
  </si>
  <si>
    <r>
      <t xml:space="preserve">SEXUAL IDENTITY (Number of SMPP)
</t>
    </r>
    <r>
      <rPr>
        <i/>
        <sz val="11"/>
        <color theme="1"/>
        <rFont val="Arial"/>
        <family val="2"/>
      </rPr>
      <t>Please provide the most detailed data available.</t>
    </r>
  </si>
  <si>
    <t>Male</t>
  </si>
  <si>
    <t>Asexual</t>
  </si>
  <si>
    <t>Female</t>
  </si>
  <si>
    <t>Bisexual or Pansexual</t>
  </si>
  <si>
    <t>Non-Binary</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</si>
  <si>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</si>
  <si>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</si>
  <si>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</si>
  <si>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</si>
  <si>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</si>
  <si>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</si>
  <si>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</si>
  <si>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</si>
  <si>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</si>
  <si>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Program Evaluation Chart</t>
  </si>
  <si>
    <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</si>
  <si>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</si>
  <si>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</si>
  <si>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</si>
  <si>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</si>
  <si>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</si>
  <si>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</si>
  <si>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</si>
  <si>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</si>
  <si>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</si>
  <si>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</si>
  <si>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</si>
  <si>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</si>
  <si>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Stability</t>
  </si>
  <si>
    <t>Increase number of vulnerable households who receive appropriate supports to maintain stable, quality housing</t>
  </si>
  <si>
    <t>Output</t>
  </si>
  <si>
    <t># of SMPP receiving Care Management to assist with supports to maintain stable quality housing and or prevent evictions</t>
  </si>
  <si>
    <t>Client Database Kintone</t>
  </si>
  <si>
    <t>The lifting of COVID era housing protections has resulted in more older adults reaching out for supports that can promote housing security</t>
  </si>
  <si>
    <t xml:space="preserve">Seniors in Santa Monica continue to experience high levels of housing instability </t>
  </si>
  <si>
    <t>Outcome</t>
  </si>
  <si>
    <t>% SMPP completed application and/ or program resource connection to support eviction prevention</t>
  </si>
  <si>
    <t>100% (582 applicants)</t>
  </si>
  <si>
    <t>100% (831 applicants)</t>
  </si>
  <si>
    <t> </t>
  </si>
  <si>
    <t>Health and Wellness</t>
  </si>
  <si>
    <t>Improve behavioral health</t>
  </si>
  <si>
    <t># of SMPP linked to behavioral health services-individual and group peer counseling</t>
  </si>
  <si>
    <t>Added new peer support groups</t>
  </si>
  <si>
    <t>% SMPP report feeling less isolated</t>
  </si>
  <si>
    <t>Peer counseling Survey (at yearend)</t>
  </si>
  <si>
    <t>N/A</t>
  </si>
  <si>
    <t xml:space="preserve">Improve connections between Santa Monica residents and their community </t>
  </si>
  <si>
    <t># of SMPP with cognitive impairment attending the WISE Adult Day Center</t>
  </si>
  <si>
    <t xml:space="preserve">
37</t>
  </si>
  <si>
    <t>Client files</t>
  </si>
  <si>
    <t xml:space="preserve">Expended other sources for ADC financial assistance in first half of fiscal year. </t>
  </si>
  <si>
    <t>Financial assistance helped  added participants to enroll</t>
  </si>
  <si>
    <t>% of WISE Adult Day Center SMPP clients who remained living in the community</t>
  </si>
  <si>
    <t>Client files (at yearend)</t>
  </si>
  <si>
    <t xml:space="preserve">ADC retained a high number of its clients. Those that left the program and chose to remain at home were given resources to help support them in that decision. </t>
  </si>
  <si>
    <t>Secondary Indicators (Note: secondary indicators are optional. Indicators listed here can be used to further illustrate programs impact).</t>
  </si>
  <si>
    <t>SMPP Task Force Clients will receive intensive case management to prevent homelessness/reduce hazardous living conditions</t>
  </si>
  <si>
    <t>Task Force Member referrals</t>
  </si>
  <si>
    <t>Seniors in Santa Monica experiencing high levels of vulnerability</t>
  </si>
  <si>
    <t>Seniors in Santa Monica continue to experience high levels of vulnerability</t>
  </si>
  <si>
    <t>% SMPP Task Force clients avert personal and community hazards or impact of safe living</t>
  </si>
  <si>
    <t>Case Database Kintone</t>
  </si>
  <si>
    <t xml:space="preserve"> # of Santa Monica residents requesting information and referrals</t>
  </si>
  <si>
    <t>Info &amp; Referral Database</t>
  </si>
  <si>
    <t>Seniors in Santa Monica experiencing high levels of vulnerability and needing community linkages.</t>
  </si>
  <si>
    <t>Seniors in Santa Monica continue to experience high levels of vulnerability and needing community linkages</t>
  </si>
  <si>
    <t>% Resources given to residents, connecting them to needed community based programing</t>
  </si>
  <si>
    <t xml:space="preserve">Conservative in referring clients to scholarship days in first half of fiscal year, will increase in second half of year. </t>
  </si>
  <si>
    <t>% of SMPP or their caregivers report improved social connection</t>
  </si>
  <si>
    <t>Survey (mid-year and year-end) or Observation</t>
  </si>
  <si>
    <t xml:space="preserve">ADC participants responses at year-end felt their social connections have improved in higher percentages than expected.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</si>
</sst>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F800]dddd\,\ mmmm\ dd\,\ yyyy"/>
    <numFmt numFmtId="169" formatCode="0.000%"/>
    <numFmt numFmtId="170" formatCode="0.00_);\(0.00\)"/>
    <numFmt numFmtId="171" formatCode="_([$$-409]* #,##0_);_([$$-409]* \(#,##0\);_([$$-409]* &quot;-&quot;??_);_(@_)"/>
  </numFmts>
  <fonts count="36" x14ac:knownFonts="1">
    <font>
      <sz val="10"/>
      <name val="Arial"/>
    </font>
    <font>
      <sz val="10"/>
      <name val="Arial"/>
      <family val="2"/>
    </font>
    <font>
      <b/>
      <sz val="10"/>
      <name val="Arial"/>
      <family val="2"/>
    </font>
    <font>
      <b/>
      <sz val="11"/>
      <name val="Arial"/>
      <family val="2"/>
    </font>
    <font>
      <sz val="11"/>
      <name val="Arial"/>
      <family val="2"/>
    </font>
    <font>
      <b/>
      <u val="singleAccounting"/>
      <sz val="11"/>
      <name val="Arial"/>
      <family val="2"/>
    </font>
    <font>
      <b/>
      <sz val="8"/>
      <name val="Arial"/>
      <family val="2"/>
    </font>
    <font>
      <b/>
      <u/>
      <sz val="8"/>
      <name val="Arial"/>
      <family val="2"/>
    </font>
    <font>
      <sz val="10"/>
      <color indexed="8"/>
      <name val="MS Sans Serif"/>
    </font>
    <font>
      <b/>
      <i/>
      <sz val="10"/>
      <name val="Arial"/>
      <family val="2"/>
    </font>
    <font>
      <b/>
      <i/>
      <u/>
      <sz val="8"/>
      <name val="Arial"/>
      <family val="2"/>
    </font>
    <font>
      <sz val="8"/>
      <name val="Arial"/>
      <family val="2"/>
    </font>
    <font>
      <b/>
      <sz val="14"/>
      <name val="Arial"/>
      <family val="2"/>
    </font>
    <font>
      <b/>
      <sz val="10"/>
      <color theme="1"/>
      <name val="Arial"/>
      <family val="2"/>
    </font>
    <font>
      <b/>
      <sz val="10"/>
      <color theme="0"/>
      <name val="Arial"/>
      <family val="2"/>
    </font>
    <font>
      <sz val="10"/>
      <color rgb="FFFF0000"/>
      <name val="Arial"/>
      <family val="2"/>
    </font>
    <font>
      <sz val="9"/>
      <name val="Arial"/>
      <family val="2"/>
    </font>
    <font>
      <b/>
      <u val="singleAccounting"/>
      <sz val="10"/>
      <name val="Arial"/>
      <family val="2"/>
    </font>
    <font>
      <b/>
      <sz val="11"/>
      <color theme="1"/>
      <name val="Arial"/>
      <family val="2"/>
    </font>
    <font>
      <sz val="11"/>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rgb="FF000000"/>
      <name val="Arial"/>
      <family val="2"/>
    </font>
    <font>
      <b/>
      <sz val="11"/>
      <color rgb="FF000000"/>
      <name val="Arial"/>
      <family val="2"/>
    </font>
    <font>
      <b/>
      <sz val="10"/>
      <color rgb="FF000000"/>
      <name val="Arial"/>
      <family val="2"/>
    </font>
    <font>
      <sz val="10"/>
      <color rgb="FF000000"/>
      <name val="Arial"/>
      <family val="2"/>
    </font>
    <font>
      <sz val="12"/>
      <name val="Cambria"/>
      <family val="1"/>
    </font>
    <font>
      <sz val="12"/>
      <name val="Arial"/>
      <family val="2"/>
    </font>
    <font>
      <b/>
      <u/>
      <sz val="11"/>
      <name val="Arial"/>
      <family val="2"/>
    </font>
    <font>
      <b/>
      <sz val="9"/>
      <name val="Arial"/>
      <family val="2"/>
    </font>
    <font>
      <i/>
      <sz val="11"/>
      <color theme="1"/>
      <name val="Arial"/>
      <family val="2"/>
    </font>
    <font>
      <b/>
      <sz val="12"/>
      <name val="Arial"/>
      <family val="2"/>
    </font>
    <font>
      <sz val="10"/>
      <color theme="1"/>
      <name val="Arial"/>
      <family val="2"/>
    </font>
    <font>
      <strike/>
      <sz val="10"/>
      <color rgb="FF000000"/>
      <name val="Arial"/>
      <family val="2"/>
    </font>
  </fonts>
  <fills count="17">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D9D9D9"/>
        <bgColor rgb="FF000000"/>
      </patternFill>
    </fill>
  </fills>
  <borders count="6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1"/>
      </left>
      <right/>
      <top style="thin">
        <color indexed="64"/>
      </top>
      <bottom style="medium">
        <color indexed="64"/>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top style="thin">
        <color theme="0" tint="-0.24994659260841701"/>
      </top>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diagonal/>
    </border>
    <border>
      <left/>
      <right style="medium">
        <color indexed="64"/>
      </right>
      <top style="thin">
        <color indexed="64"/>
      </top>
      <bottom style="medium">
        <color indexed="64"/>
      </bottom>
      <diagonal/>
    </border>
    <border>
      <left style="medium">
        <color indexed="64"/>
      </left>
      <right/>
      <top style="medium">
        <color theme="0" tint="-0.14996795556505021"/>
      </top>
      <bottom style="medium">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1"/>
      </left>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right style="thin">
        <color rgb="FFBFBFBF"/>
      </right>
      <top style="thin">
        <color rgb="FFBFBFBF"/>
      </top>
      <bottom/>
      <diagonal/>
    </border>
    <border>
      <left style="thin">
        <color rgb="FFBFBFBF"/>
      </left>
      <right style="thin">
        <color rgb="FFBFBFBF"/>
      </right>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385">
    <xf numFmtId="0" fontId="0" fillId="0" borderId="0" xfId="0"/>
    <xf numFmtId="0" fontId="1" fillId="0" borderId="0" xfId="3"/>
    <xf numFmtId="9" fontId="3" fillId="4" borderId="2" xfId="5" applyFont="1" applyFill="1" applyBorder="1" applyAlignment="1" applyProtection="1">
      <alignment horizontal="center"/>
    </xf>
    <xf numFmtId="166" fontId="6" fillId="4" borderId="9" xfId="1" applyNumberFormat="1" applyFont="1" applyFill="1" applyBorder="1" applyAlignment="1" applyProtection="1">
      <alignment horizontal="center"/>
    </xf>
    <xf numFmtId="9" fontId="6" fillId="4" borderId="10" xfId="5" applyFont="1" applyFill="1" applyBorder="1" applyAlignment="1" applyProtection="1">
      <alignment horizontal="center"/>
    </xf>
    <xf numFmtId="166" fontId="6" fillId="4" borderId="7" xfId="1" applyNumberFormat="1" applyFont="1" applyFill="1" applyBorder="1" applyAlignment="1" applyProtection="1">
      <alignment horizontal="center"/>
    </xf>
    <xf numFmtId="9" fontId="6" fillId="4" borderId="0" xfId="5" applyFont="1" applyFill="1" applyBorder="1" applyAlignment="1" applyProtection="1">
      <alignment horizontal="center"/>
    </xf>
    <xf numFmtId="166" fontId="2" fillId="0" borderId="0" xfId="1" applyNumberFormat="1" applyFont="1" applyFill="1" applyProtection="1"/>
    <xf numFmtId="9" fontId="1" fillId="0" borderId="0" xfId="5" applyFont="1" applyFill="1" applyAlignment="1" applyProtection="1">
      <alignment horizontal="center"/>
    </xf>
    <xf numFmtId="9" fontId="1" fillId="0" borderId="5" xfId="5" applyFont="1" applyFill="1" applyBorder="1" applyAlignment="1" applyProtection="1">
      <alignment horizontal="center"/>
    </xf>
    <xf numFmtId="9" fontId="1" fillId="0" borderId="0" xfId="5" applyFont="1" applyFill="1" applyBorder="1" applyAlignment="1" applyProtection="1">
      <alignment horizontal="center"/>
    </xf>
    <xf numFmtId="9" fontId="1" fillId="0" borderId="18" xfId="5" applyFont="1" applyFill="1" applyBorder="1" applyAlignment="1" applyProtection="1">
      <alignment horizontal="center"/>
    </xf>
    <xf numFmtId="9" fontId="1" fillId="0" borderId="19" xfId="5" applyFont="1" applyFill="1" applyBorder="1" applyAlignment="1" applyProtection="1">
      <alignment horizontal="center"/>
    </xf>
    <xf numFmtId="9" fontId="2" fillId="0" borderId="19" xfId="5" applyFont="1" applyFill="1" applyBorder="1" applyAlignment="1" applyProtection="1">
      <alignment horizontal="center"/>
    </xf>
    <xf numFmtId="166" fontId="2" fillId="0" borderId="0" xfId="1" applyNumberFormat="1" applyFont="1" applyFill="1" applyAlignment="1" applyProtection="1">
      <alignment textRotation="90"/>
    </xf>
    <xf numFmtId="9" fontId="2" fillId="0" borderId="0" xfId="5" applyFont="1" applyFill="1" applyAlignment="1" applyProtection="1">
      <alignment horizontal="center" textRotation="90"/>
    </xf>
    <xf numFmtId="0" fontId="13" fillId="0" borderId="0" xfId="3" applyFont="1" applyAlignment="1">
      <alignment horizontal="center"/>
    </xf>
    <xf numFmtId="9" fontId="1" fillId="0" borderId="20" xfId="5" applyFont="1" applyFill="1" applyBorder="1" applyAlignment="1" applyProtection="1">
      <alignment horizontal="center"/>
    </xf>
    <xf numFmtId="9" fontId="7" fillId="0" borderId="0" xfId="5" applyFont="1" applyFill="1" applyBorder="1" applyAlignment="1" applyProtection="1">
      <alignment horizontal="center" wrapText="1"/>
    </xf>
    <xf numFmtId="9" fontId="2" fillId="4" borderId="22" xfId="5" applyFont="1" applyFill="1" applyBorder="1" applyAlignment="1" applyProtection="1">
      <alignment horizontal="center"/>
    </xf>
    <xf numFmtId="164" fontId="11" fillId="4" borderId="0" xfId="2" applyNumberFormat="1" applyFont="1" applyFill="1" applyBorder="1" applyProtection="1"/>
    <xf numFmtId="9" fontId="11" fillId="4" borderId="0" xfId="5" applyFont="1" applyFill="1" applyBorder="1" applyAlignment="1" applyProtection="1">
      <alignment horizontal="center"/>
    </xf>
    <xf numFmtId="44" fontId="11" fillId="4" borderId="7" xfId="2" applyFont="1" applyFill="1" applyBorder="1" applyProtection="1"/>
    <xf numFmtId="0" fontId="12" fillId="0" borderId="0" xfId="3" applyFont="1"/>
    <xf numFmtId="0" fontId="12" fillId="0" borderId="0" xfId="3" applyFont="1" applyAlignment="1">
      <alignment vertical="top"/>
    </xf>
    <xf numFmtId="164" fontId="4" fillId="3" borderId="0" xfId="2" applyNumberFormat="1" applyFont="1" applyFill="1" applyBorder="1" applyAlignment="1" applyProtection="1">
      <alignment horizontal="center"/>
    </xf>
    <xf numFmtId="9" fontId="2" fillId="0" borderId="0" xfId="5" applyFont="1" applyFill="1" applyBorder="1" applyAlignment="1" applyProtection="1">
      <alignment horizontal="center"/>
    </xf>
    <xf numFmtId="168" fontId="4" fillId="0" borderId="4" xfId="3" applyNumberFormat="1" applyFont="1" applyBorder="1" applyAlignment="1">
      <alignment horizontal="center" vertical="center" wrapText="1"/>
    </xf>
    <xf numFmtId="0" fontId="4" fillId="0" borderId="4" xfId="3" applyFont="1" applyBorder="1" applyAlignment="1">
      <alignment horizontal="center" vertical="center" wrapText="1"/>
    </xf>
    <xf numFmtId="0" fontId="4" fillId="0" borderId="13" xfId="3" applyFont="1" applyBorder="1" applyAlignment="1">
      <alignment vertical="center" wrapText="1"/>
    </xf>
    <xf numFmtId="164" fontId="2" fillId="0" borderId="0" xfId="2" applyNumberFormat="1" applyFont="1" applyFill="1" applyBorder="1" applyProtection="1"/>
    <xf numFmtId="0" fontId="16" fillId="0" borderId="0" xfId="3" applyFont="1" applyAlignment="1">
      <alignment horizontal="center"/>
    </xf>
    <xf numFmtId="0" fontId="16" fillId="0" borderId="0" xfId="3" applyFont="1"/>
    <xf numFmtId="167" fontId="16" fillId="0" borderId="0" xfId="3" applyNumberFormat="1" applyFont="1"/>
    <xf numFmtId="41" fontId="5" fillId="5" borderId="11" xfId="3" applyNumberFormat="1" applyFont="1" applyFill="1" applyBorder="1" applyAlignment="1">
      <alignment horizontal="center"/>
    </xf>
    <xf numFmtId="41" fontId="17" fillId="5" borderId="10" xfId="3" applyNumberFormat="1" applyFont="1" applyFill="1" applyBorder="1" applyAlignment="1">
      <alignment horizontal="center" wrapText="1"/>
    </xf>
    <xf numFmtId="0" fontId="1" fillId="5" borderId="9" xfId="3" applyFill="1" applyBorder="1"/>
    <xf numFmtId="0" fontId="4" fillId="7" borderId="8" xfId="3" applyFont="1" applyFill="1" applyBorder="1"/>
    <xf numFmtId="0" fontId="4" fillId="3" borderId="0" xfId="3" applyFont="1" applyFill="1" applyAlignment="1">
      <alignment horizontal="center"/>
    </xf>
    <xf numFmtId="0" fontId="4" fillId="7" borderId="0" xfId="3" applyFont="1" applyFill="1" applyAlignment="1">
      <alignment horizontal="center"/>
    </xf>
    <xf numFmtId="0" fontId="16" fillId="7" borderId="7" xfId="3" applyFont="1" applyFill="1" applyBorder="1"/>
    <xf numFmtId="9" fontId="4" fillId="3" borderId="8" xfId="3" applyNumberFormat="1" applyFont="1" applyFill="1" applyBorder="1"/>
    <xf numFmtId="9" fontId="4" fillId="3" borderId="0" xfId="3" applyNumberFormat="1" applyFont="1" applyFill="1" applyAlignment="1">
      <alignment horizontal="center"/>
    </xf>
    <xf numFmtId="9" fontId="4" fillId="7" borderId="0" xfId="3" applyNumberFormat="1" applyFont="1" applyFill="1" applyAlignment="1">
      <alignment horizontal="center"/>
    </xf>
    <xf numFmtId="41" fontId="5" fillId="5" borderId="8" xfId="3" applyNumberFormat="1" applyFont="1" applyFill="1" applyBorder="1" applyAlignment="1">
      <alignment horizontal="center"/>
    </xf>
    <xf numFmtId="164" fontId="4" fillId="7" borderId="0" xfId="2" applyNumberFormat="1" applyFont="1" applyFill="1" applyBorder="1" applyAlignment="1" applyProtection="1">
      <alignment horizontal="right"/>
    </xf>
    <xf numFmtId="164" fontId="4" fillId="7" borderId="7" xfId="2" applyNumberFormat="1" applyFont="1" applyFill="1" applyBorder="1" applyAlignment="1" applyProtection="1">
      <alignment horizontal="right"/>
    </xf>
    <xf numFmtId="165" fontId="4" fillId="3" borderId="0" xfId="3" applyNumberFormat="1" applyFont="1" applyFill="1" applyAlignment="1">
      <alignment horizontal="center"/>
    </xf>
    <xf numFmtId="164" fontId="4" fillId="7" borderId="0" xfId="2" applyNumberFormat="1" applyFont="1" applyFill="1" applyBorder="1" applyAlignment="1" applyProtection="1">
      <alignment horizontal="center"/>
    </xf>
    <xf numFmtId="165" fontId="4" fillId="3" borderId="7" xfId="3" applyNumberFormat="1" applyFont="1" applyFill="1" applyBorder="1" applyAlignment="1">
      <alignment horizontal="center"/>
    </xf>
    <xf numFmtId="0" fontId="3" fillId="9" borderId="3" xfId="3" applyFont="1" applyFill="1" applyBorder="1"/>
    <xf numFmtId="165" fontId="3" fillId="9" borderId="2" xfId="3" applyNumberFormat="1" applyFont="1" applyFill="1" applyBorder="1" applyAlignment="1">
      <alignment horizontal="center"/>
    </xf>
    <xf numFmtId="165" fontId="3" fillId="9" borderId="1" xfId="3" applyNumberFormat="1" applyFont="1" applyFill="1" applyBorder="1" applyAlignment="1">
      <alignment horizontal="center"/>
    </xf>
    <xf numFmtId="0" fontId="16" fillId="7" borderId="0" xfId="3" applyFont="1" applyFill="1" applyAlignment="1">
      <alignment horizontal="center"/>
    </xf>
    <xf numFmtId="0" fontId="3" fillId="2" borderId="17" xfId="3" applyFont="1" applyFill="1" applyBorder="1" applyAlignment="1">
      <alignment horizontal="center" wrapText="1"/>
    </xf>
    <xf numFmtId="9" fontId="2" fillId="5" borderId="2" xfId="5" applyFont="1" applyFill="1" applyBorder="1" applyAlignment="1" applyProtection="1"/>
    <xf numFmtId="9" fontId="11" fillId="4" borderId="0" xfId="5" applyFont="1" applyFill="1" applyBorder="1" applyProtection="1"/>
    <xf numFmtId="165" fontId="4" fillId="3" borderId="0" xfId="5" applyNumberFormat="1" applyFont="1" applyFill="1" applyBorder="1" applyAlignment="1" applyProtection="1">
      <alignment horizontal="center"/>
    </xf>
    <xf numFmtId="9" fontId="7" fillId="0" borderId="10" xfId="5" applyFont="1" applyFill="1" applyBorder="1" applyAlignment="1" applyProtection="1">
      <alignment horizontal="center" wrapText="1"/>
    </xf>
    <xf numFmtId="166" fontId="7" fillId="0" borderId="9" xfId="1" applyNumberFormat="1" applyFont="1" applyFill="1" applyBorder="1" applyAlignment="1" applyProtection="1">
      <alignment horizontal="center" wrapText="1"/>
    </xf>
    <xf numFmtId="164" fontId="2" fillId="0" borderId="9" xfId="2" applyNumberFormat="1" applyFont="1" applyFill="1" applyBorder="1" applyProtection="1"/>
    <xf numFmtId="164" fontId="2" fillId="0" borderId="7" xfId="2" applyNumberFormat="1" applyFont="1" applyFill="1" applyBorder="1" applyProtection="1"/>
    <xf numFmtId="166" fontId="2" fillId="0" borderId="4" xfId="1" applyNumberFormat="1" applyFont="1" applyFill="1" applyBorder="1" applyProtection="1"/>
    <xf numFmtId="9" fontId="2" fillId="4" borderId="16" xfId="5" applyFont="1" applyFill="1" applyBorder="1" applyAlignment="1" applyProtection="1">
      <alignment horizontal="center"/>
    </xf>
    <xf numFmtId="42" fontId="1" fillId="0" borderId="19" xfId="2" applyNumberFormat="1" applyFont="1" applyFill="1" applyBorder="1" applyProtection="1"/>
    <xf numFmtId="42" fontId="2" fillId="0" borderId="19" xfId="2" applyNumberFormat="1" applyFont="1" applyFill="1" applyBorder="1" applyProtection="1"/>
    <xf numFmtId="42" fontId="1" fillId="0" borderId="21" xfId="2" applyNumberFormat="1" applyFont="1" applyFill="1" applyBorder="1" applyProtection="1"/>
    <xf numFmtId="42" fontId="2" fillId="0" borderId="21" xfId="2" applyNumberFormat="1" applyFont="1" applyFill="1" applyBorder="1" applyProtection="1"/>
    <xf numFmtId="42" fontId="1" fillId="0" borderId="18" xfId="2" applyNumberFormat="1" applyFont="1" applyFill="1" applyBorder="1" applyProtection="1"/>
    <xf numFmtId="42" fontId="2" fillId="4" borderId="22" xfId="2" applyNumberFormat="1" applyFont="1" applyFill="1" applyBorder="1" applyProtection="1"/>
    <xf numFmtId="42" fontId="2" fillId="4" borderId="23" xfId="2" applyNumberFormat="1" applyFont="1" applyFill="1" applyBorder="1" applyProtection="1"/>
    <xf numFmtId="42" fontId="1" fillId="0" borderId="20" xfId="2" applyNumberFormat="1" applyFont="1" applyFill="1" applyBorder="1" applyProtection="1"/>
    <xf numFmtId="42" fontId="2" fillId="4" borderId="16" xfId="2" applyNumberFormat="1" applyFont="1" applyFill="1" applyBorder="1" applyProtection="1"/>
    <xf numFmtId="42" fontId="2" fillId="4" borderId="43" xfId="2" applyNumberFormat="1" applyFont="1" applyFill="1" applyBorder="1" applyProtection="1"/>
    <xf numFmtId="42" fontId="3" fillId="4" borderId="2" xfId="2" applyNumberFormat="1" applyFont="1" applyFill="1" applyBorder="1" applyProtection="1"/>
    <xf numFmtId="42" fontId="3" fillId="4" borderId="1" xfId="2" applyNumberFormat="1" applyFont="1" applyFill="1" applyBorder="1" applyProtection="1"/>
    <xf numFmtId="42" fontId="1" fillId="0" borderId="12" xfId="2" applyNumberFormat="1" applyFont="1" applyFill="1" applyBorder="1" applyProtection="1"/>
    <xf numFmtId="49" fontId="3" fillId="0" borderId="12" xfId="3" applyNumberFormat="1" applyFont="1" applyBorder="1"/>
    <xf numFmtId="0" fontId="16" fillId="0" borderId="12" xfId="3" applyFont="1" applyBorder="1"/>
    <xf numFmtId="49" fontId="3" fillId="0" borderId="15" xfId="3" applyNumberFormat="1" applyFont="1" applyBorder="1"/>
    <xf numFmtId="0" fontId="16" fillId="0" borderId="15" xfId="3" applyFont="1" applyBorder="1"/>
    <xf numFmtId="42" fontId="4" fillId="7" borderId="0" xfId="2" applyNumberFormat="1" applyFont="1" applyFill="1" applyBorder="1" applyAlignment="1" applyProtection="1">
      <alignment horizontal="right"/>
    </xf>
    <xf numFmtId="42" fontId="4" fillId="7" borderId="7" xfId="2" applyNumberFormat="1" applyFont="1" applyFill="1" applyBorder="1" applyAlignment="1" applyProtection="1">
      <alignment horizontal="right"/>
    </xf>
    <xf numFmtId="42" fontId="4" fillId="3" borderId="0" xfId="2" applyNumberFormat="1" applyFont="1" applyFill="1" applyBorder="1" applyAlignment="1" applyProtection="1">
      <alignment horizontal="center"/>
    </xf>
    <xf numFmtId="42" fontId="4" fillId="7" borderId="0" xfId="2" applyNumberFormat="1" applyFont="1" applyFill="1" applyBorder="1" applyAlignment="1" applyProtection="1">
      <alignment horizontal="center"/>
    </xf>
    <xf numFmtId="42" fontId="3" fillId="9" borderId="2" xfId="2" applyNumberFormat="1" applyFont="1" applyFill="1" applyBorder="1" applyAlignment="1" applyProtection="1">
      <alignment horizontal="center"/>
    </xf>
    <xf numFmtId="165" fontId="4" fillId="7" borderId="0" xfId="3" applyNumberFormat="1" applyFont="1" applyFill="1" applyAlignment="1">
      <alignment horizontal="center"/>
    </xf>
    <xf numFmtId="0" fontId="20" fillId="0" borderId="0" xfId="3" applyFont="1"/>
    <xf numFmtId="0" fontId="21" fillId="0" borderId="0" xfId="3" applyFont="1"/>
    <xf numFmtId="0" fontId="22" fillId="0" borderId="0" xfId="3" applyFont="1" applyAlignment="1">
      <alignment horizontal="center"/>
    </xf>
    <xf numFmtId="0" fontId="23" fillId="8" borderId="17" xfId="3" applyFont="1" applyFill="1" applyBorder="1" applyAlignment="1">
      <alignment horizontal="center" vertical="center" wrapText="1"/>
    </xf>
    <xf numFmtId="0" fontId="23" fillId="8" borderId="1" xfId="3" applyFont="1" applyFill="1" applyBorder="1" applyAlignment="1">
      <alignment horizontal="center" vertical="center" wrapText="1"/>
    </xf>
    <xf numFmtId="166" fontId="2" fillId="0" borderId="7" xfId="1" applyNumberFormat="1" applyFont="1" applyFill="1" applyBorder="1" applyProtection="1"/>
    <xf numFmtId="166" fontId="7" fillId="0" borderId="7" xfId="1" applyNumberFormat="1" applyFont="1" applyFill="1" applyBorder="1" applyAlignment="1" applyProtection="1">
      <alignment horizontal="center" wrapText="1"/>
    </xf>
    <xf numFmtId="164" fontId="1" fillId="0" borderId="10" xfId="2" applyNumberFormat="1" applyFont="1" applyFill="1" applyBorder="1" applyProtection="1"/>
    <xf numFmtId="49" fontId="1" fillId="0" borderId="10" xfId="2" applyNumberFormat="1" applyFont="1" applyFill="1" applyBorder="1" applyAlignment="1" applyProtection="1">
      <alignment horizontal="left"/>
    </xf>
    <xf numFmtId="9" fontId="2" fillId="5" borderId="5" xfId="5" applyFont="1" applyFill="1" applyBorder="1" applyAlignment="1" applyProtection="1"/>
    <xf numFmtId="1" fontId="4" fillId="3" borderId="0" xfId="3" applyNumberFormat="1" applyFont="1" applyFill="1" applyAlignment="1">
      <alignment horizontal="center"/>
    </xf>
    <xf numFmtId="0" fontId="13" fillId="0" borderId="32" xfId="3" applyFont="1" applyBorder="1" applyAlignment="1">
      <alignment horizontal="center"/>
    </xf>
    <xf numFmtId="42" fontId="1" fillId="11" borderId="19" xfId="2" applyNumberFormat="1" applyFont="1" applyFill="1" applyBorder="1" applyProtection="1"/>
    <xf numFmtId="42" fontId="1" fillId="11" borderId="20" xfId="2" applyNumberFormat="1" applyFont="1" applyFill="1" applyBorder="1" applyProtection="1"/>
    <xf numFmtId="49" fontId="1" fillId="11" borderId="29" xfId="5" applyNumberFormat="1" applyFont="1" applyFill="1" applyBorder="1" applyAlignment="1" applyProtection="1">
      <alignment horizontal="left" vertical="top" wrapText="1"/>
    </xf>
    <xf numFmtId="49" fontId="1" fillId="11" borderId="39" xfId="5" applyNumberFormat="1" applyFont="1" applyFill="1" applyBorder="1" applyAlignment="1" applyProtection="1">
      <alignment horizontal="left" vertical="top" wrapText="1"/>
    </xf>
    <xf numFmtId="49" fontId="1" fillId="11" borderId="34" xfId="5" applyNumberFormat="1" applyFont="1" applyFill="1" applyBorder="1" applyAlignment="1" applyProtection="1">
      <alignment horizontal="left" vertical="top" wrapText="1"/>
    </xf>
    <xf numFmtId="49" fontId="1" fillId="11" borderId="37" xfId="5" applyNumberFormat="1" applyFont="1" applyFill="1" applyBorder="1" applyAlignment="1" applyProtection="1">
      <alignment horizontal="left" vertical="top" wrapText="1"/>
    </xf>
    <xf numFmtId="49" fontId="1" fillId="11" borderId="41" xfId="5" applyNumberFormat="1" applyFont="1" applyFill="1" applyBorder="1" applyAlignment="1" applyProtection="1">
      <alignment horizontal="left" vertical="top" wrapText="1"/>
    </xf>
    <xf numFmtId="49" fontId="1" fillId="11" borderId="42" xfId="5" applyNumberFormat="1" applyFont="1" applyFill="1" applyBorder="1" applyAlignment="1" applyProtection="1">
      <alignment horizontal="left" vertical="top" wrapText="1"/>
    </xf>
    <xf numFmtId="171" fontId="1" fillId="6" borderId="20" xfId="2" applyNumberFormat="1" applyFont="1" applyFill="1" applyBorder="1" applyProtection="1"/>
    <xf numFmtId="171" fontId="1" fillId="6" borderId="19" xfId="2" applyNumberFormat="1" applyFont="1" applyFill="1" applyBorder="1" applyProtection="1"/>
    <xf numFmtId="0" fontId="12" fillId="0" borderId="0" xfId="3" applyFont="1" applyAlignment="1">
      <alignment horizontal="center"/>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6" fontId="1" fillId="11" borderId="19" xfId="2" applyNumberFormat="1" applyFont="1" applyFill="1" applyBorder="1" applyProtection="1"/>
    <xf numFmtId="6" fontId="2" fillId="4" borderId="22" xfId="2" applyNumberFormat="1" applyFont="1" applyFill="1" applyBorder="1" applyProtection="1"/>
    <xf numFmtId="0" fontId="1" fillId="0" borderId="0" xfId="3" applyAlignment="1">
      <alignment horizontal="left" vertical="center" wrapText="1"/>
    </xf>
    <xf numFmtId="0" fontId="2" fillId="0" borderId="0" xfId="3" applyFont="1"/>
    <xf numFmtId="0" fontId="2" fillId="0" borderId="0" xfId="3" applyFont="1" applyAlignment="1">
      <alignment textRotation="90"/>
    </xf>
    <xf numFmtId="0" fontId="3" fillId="5" borderId="3" xfId="3" applyFont="1" applyFill="1" applyBorder="1"/>
    <xf numFmtId="0" fontId="2" fillId="5" borderId="2" xfId="3" applyFont="1" applyFill="1" applyBorder="1"/>
    <xf numFmtId="0" fontId="2" fillId="5" borderId="1" xfId="3" applyFont="1" applyFill="1" applyBorder="1"/>
    <xf numFmtId="0" fontId="1" fillId="0" borderId="8" xfId="3" applyBorder="1" applyAlignment="1">
      <alignment vertical="center"/>
    </xf>
    <xf numFmtId="0" fontId="1" fillId="0" borderId="0" xfId="3" applyAlignment="1">
      <alignment vertical="center"/>
    </xf>
    <xf numFmtId="0" fontId="2" fillId="0" borderId="7" xfId="3" applyFont="1" applyBorder="1"/>
    <xf numFmtId="0" fontId="1" fillId="0" borderId="7" xfId="3" applyBorder="1"/>
    <xf numFmtId="0" fontId="1" fillId="0" borderId="8" xfId="3" applyBorder="1" applyAlignment="1">
      <alignment horizontal="left" vertical="center" wrapText="1"/>
    </xf>
    <xf numFmtId="0" fontId="1" fillId="0" borderId="8" xfId="3" applyBorder="1"/>
    <xf numFmtId="0" fontId="1" fillId="0" borderId="11" xfId="3" applyBorder="1"/>
    <xf numFmtId="0" fontId="1" fillId="0" borderId="10" xfId="3" applyBorder="1"/>
    <xf numFmtId="0" fontId="7" fillId="0" borderId="10" xfId="3" applyFont="1" applyBorder="1" applyAlignment="1">
      <alignment horizontal="center" wrapText="1"/>
    </xf>
    <xf numFmtId="0" fontId="2" fillId="0" borderId="8" xfId="3" applyFont="1" applyBorder="1" applyAlignment="1">
      <alignment horizontal="left"/>
    </xf>
    <xf numFmtId="49" fontId="2" fillId="11" borderId="12" xfId="3" applyNumberFormat="1" applyFont="1" applyFill="1" applyBorder="1"/>
    <xf numFmtId="0" fontId="1" fillId="0" borderId="0" xfId="3" applyAlignment="1">
      <alignment horizontal="left" indent="1"/>
    </xf>
    <xf numFmtId="49" fontId="2" fillId="11" borderId="15" xfId="3" applyNumberFormat="1" applyFont="1" applyFill="1" applyBorder="1"/>
    <xf numFmtId="0" fontId="2" fillId="0" borderId="8" xfId="3" applyFont="1" applyBorder="1"/>
    <xf numFmtId="0" fontId="11" fillId="11" borderId="12" xfId="3" applyFont="1" applyFill="1" applyBorder="1"/>
    <xf numFmtId="42" fontId="1" fillId="6" borderId="12" xfId="2" applyNumberFormat="1" applyFont="1" applyFill="1" applyBorder="1" applyProtection="1"/>
    <xf numFmtId="0" fontId="2" fillId="0" borderId="0" xfId="3" applyFont="1" applyAlignment="1">
      <alignment horizontal="left" indent="1"/>
    </xf>
    <xf numFmtId="0" fontId="1" fillId="0" borderId="6" xfId="3" applyBorder="1"/>
    <xf numFmtId="0" fontId="1" fillId="0" borderId="5" xfId="3" applyBorder="1"/>
    <xf numFmtId="0" fontId="3" fillId="5" borderId="11" xfId="3" applyFont="1" applyFill="1" applyBorder="1"/>
    <xf numFmtId="0" fontId="2" fillId="5" borderId="10" xfId="3" applyFont="1" applyFill="1" applyBorder="1"/>
    <xf numFmtId="0" fontId="2" fillId="5" borderId="9" xfId="3" applyFont="1" applyFill="1" applyBorder="1"/>
    <xf numFmtId="0" fontId="4" fillId="5" borderId="8" xfId="3" applyFont="1" applyFill="1" applyBorder="1"/>
    <xf numFmtId="0" fontId="2" fillId="5" borderId="0" xfId="3" applyFont="1" applyFill="1"/>
    <xf numFmtId="0" fontId="2" fillId="5" borderId="7" xfId="3" applyFont="1" applyFill="1" applyBorder="1"/>
    <xf numFmtId="0" fontId="4" fillId="5" borderId="6" xfId="3" applyFont="1" applyFill="1" applyBorder="1"/>
    <xf numFmtId="0" fontId="2" fillId="5" borderId="5" xfId="3" applyFont="1" applyFill="1" applyBorder="1"/>
    <xf numFmtId="0" fontId="2" fillId="5" borderId="4" xfId="3" applyFont="1" applyFill="1" applyBorder="1"/>
    <xf numFmtId="0" fontId="2" fillId="0" borderId="8" xfId="3" applyFont="1" applyBorder="1" applyAlignment="1">
      <alignment horizontal="left" indent="4"/>
    </xf>
    <xf numFmtId="14" fontId="1" fillId="6" borderId="18" xfId="2" applyNumberFormat="1" applyFont="1" applyFill="1" applyBorder="1" applyProtection="1"/>
    <xf numFmtId="0" fontId="2" fillId="0" borderId="6" xfId="3" applyFont="1" applyBorder="1"/>
    <xf numFmtId="0" fontId="16" fillId="0" borderId="5" xfId="3" applyFont="1" applyBorder="1" applyAlignment="1">
      <alignment horizontal="center"/>
    </xf>
    <xf numFmtId="0" fontId="2" fillId="0" borderId="5" xfId="3" applyFont="1" applyBorder="1"/>
    <xf numFmtId="0" fontId="1" fillId="0" borderId="4" xfId="3" applyBorder="1"/>
    <xf numFmtId="0" fontId="2" fillId="0" borderId="10" xfId="3" applyFont="1" applyBorder="1"/>
    <xf numFmtId="49" fontId="1" fillId="0" borderId="10" xfId="3" applyNumberFormat="1" applyBorder="1" applyAlignment="1">
      <alignment horizontal="left"/>
    </xf>
    <xf numFmtId="49" fontId="1" fillId="0" borderId="0" xfId="3" applyNumberFormat="1" applyAlignment="1">
      <alignment horizontal="left"/>
    </xf>
    <xf numFmtId="49" fontId="1" fillId="0" borderId="5" xfId="3" applyNumberFormat="1" applyBorder="1" applyAlignment="1">
      <alignment horizontal="left"/>
    </xf>
    <xf numFmtId="0" fontId="3" fillId="5" borderId="6" xfId="3" applyFont="1" applyFill="1" applyBorder="1"/>
    <xf numFmtId="0" fontId="2" fillId="4" borderId="11" xfId="3" applyFont="1" applyFill="1" applyBorder="1" applyAlignment="1">
      <alignment wrapText="1"/>
    </xf>
    <xf numFmtId="0" fontId="2" fillId="4" borderId="10" xfId="3" applyFont="1" applyFill="1" applyBorder="1"/>
    <xf numFmtId="0" fontId="1" fillId="4" borderId="10" xfId="3" applyFill="1" applyBorder="1"/>
    <xf numFmtId="0" fontId="6" fillId="4" borderId="10" xfId="3" applyFont="1" applyFill="1" applyBorder="1" applyAlignment="1">
      <alignment horizontal="center"/>
    </xf>
    <xf numFmtId="0" fontId="11" fillId="4" borderId="8" xfId="3" applyFont="1" applyFill="1" applyBorder="1"/>
    <xf numFmtId="0" fontId="6" fillId="4" borderId="0" xfId="3" applyFont="1" applyFill="1"/>
    <xf numFmtId="0" fontId="11" fillId="4" borderId="0" xfId="3" applyFont="1" applyFill="1"/>
    <xf numFmtId="0" fontId="6" fillId="4" borderId="0" xfId="3" applyFont="1" applyFill="1" applyAlignment="1">
      <alignment horizontal="center"/>
    </xf>
    <xf numFmtId="0" fontId="11" fillId="0" borderId="0" xfId="3" applyFont="1"/>
    <xf numFmtId="0" fontId="7" fillId="0" borderId="8" xfId="3" applyFont="1" applyBorder="1" applyAlignment="1">
      <alignment wrapText="1"/>
    </xf>
    <xf numFmtId="0" fontId="7" fillId="0" borderId="0" xfId="3" applyFont="1" applyAlignment="1">
      <alignment wrapText="1"/>
    </xf>
    <xf numFmtId="0" fontId="7" fillId="0" borderId="0" xfId="3" applyFont="1" applyAlignment="1">
      <alignment horizontal="center" wrapText="1"/>
    </xf>
    <xf numFmtId="49" fontId="1" fillId="11" borderId="46" xfId="0" applyNumberFormat="1" applyFont="1" applyFill="1" applyBorder="1" applyAlignment="1">
      <alignment horizontal="left" vertical="top"/>
    </xf>
    <xf numFmtId="49" fontId="1" fillId="11" borderId="19" xfId="0" applyNumberFormat="1" applyFont="1" applyFill="1" applyBorder="1" applyAlignment="1">
      <alignment horizontal="left" vertical="top"/>
    </xf>
    <xf numFmtId="49" fontId="1" fillId="11" borderId="19" xfId="0" applyNumberFormat="1" applyFont="1" applyFill="1" applyBorder="1" applyAlignment="1">
      <alignment horizontal="center" vertical="top" shrinkToFit="1"/>
    </xf>
    <xf numFmtId="170" fontId="1" fillId="11" borderId="19" xfId="0" applyNumberFormat="1" applyFont="1" applyFill="1" applyBorder="1" applyAlignment="1">
      <alignment horizontal="center" vertical="top" shrinkToFit="1"/>
    </xf>
    <xf numFmtId="9" fontId="1" fillId="11" borderId="19" xfId="0" applyNumberFormat="1" applyFont="1" applyFill="1" applyBorder="1" applyAlignment="1">
      <alignment horizontal="center" vertical="top" shrinkToFit="1"/>
    </xf>
    <xf numFmtId="6" fontId="1" fillId="15" borderId="57" xfId="0" applyNumberFormat="1" applyFont="1" applyFill="1" applyBorder="1"/>
    <xf numFmtId="6" fontId="1" fillId="15" borderId="58" xfId="0" applyNumberFormat="1" applyFont="1" applyFill="1" applyBorder="1"/>
    <xf numFmtId="42" fontId="1" fillId="6" borderId="19" xfId="2" applyNumberFormat="1" applyFont="1" applyFill="1" applyBorder="1" applyProtection="1"/>
    <xf numFmtId="42" fontId="1" fillId="0" borderId="19" xfId="3" applyNumberFormat="1" applyBorder="1"/>
    <xf numFmtId="42" fontId="1" fillId="6" borderId="21" xfId="3" applyNumberFormat="1" applyFill="1" applyBorder="1"/>
    <xf numFmtId="6" fontId="1" fillId="15" borderId="59" xfId="0" applyNumberFormat="1" applyFont="1" applyFill="1" applyBorder="1"/>
    <xf numFmtId="6" fontId="1" fillId="15" borderId="60" xfId="0" applyNumberFormat="1" applyFont="1" applyFill="1" applyBorder="1"/>
    <xf numFmtId="0" fontId="2" fillId="4" borderId="47" xfId="3" applyFont="1" applyFill="1" applyBorder="1" applyAlignment="1">
      <alignment horizontal="left"/>
    </xf>
    <xf numFmtId="0" fontId="2" fillId="4" borderId="22" xfId="3" applyFont="1" applyFill="1" applyBorder="1" applyAlignment="1">
      <alignment horizontal="right"/>
    </xf>
    <xf numFmtId="0" fontId="2" fillId="4" borderId="11" xfId="3" applyFont="1" applyFill="1" applyBorder="1"/>
    <xf numFmtId="0" fontId="10" fillId="0" borderId="8" xfId="3" applyFont="1" applyBorder="1" applyAlignment="1">
      <alignment wrapText="1"/>
    </xf>
    <xf numFmtId="0" fontId="10" fillId="0" borderId="0" xfId="3" applyFont="1" applyAlignment="1">
      <alignment wrapText="1"/>
    </xf>
    <xf numFmtId="0" fontId="10" fillId="0" borderId="0" xfId="3" applyFont="1" applyAlignment="1">
      <alignment horizontal="center" wrapText="1"/>
    </xf>
    <xf numFmtId="49" fontId="1" fillId="11" borderId="55" xfId="0" applyNumberFormat="1" applyFont="1" applyFill="1" applyBorder="1" applyAlignment="1">
      <alignment horizontal="left" vertical="top"/>
    </xf>
    <xf numFmtId="49" fontId="1" fillId="11" borderId="29" xfId="0" applyNumberFormat="1" applyFont="1" applyFill="1" applyBorder="1" applyAlignment="1">
      <alignment horizontal="left" vertical="top" shrinkToFit="1"/>
    </xf>
    <xf numFmtId="49" fontId="1" fillId="11" borderId="29" xfId="3" applyNumberFormat="1" applyFill="1" applyBorder="1" applyAlignment="1">
      <alignment horizontal="left" vertical="top" wrapText="1"/>
    </xf>
    <xf numFmtId="49" fontId="1" fillId="11" borderId="24" xfId="3" applyNumberFormat="1" applyFill="1" applyBorder="1" applyAlignment="1">
      <alignment horizontal="left" vertical="top" wrapText="1"/>
    </xf>
    <xf numFmtId="0" fontId="1" fillId="0" borderId="0" xfId="3" applyAlignment="1">
      <alignment horizontal="left" vertical="top" wrapText="1"/>
    </xf>
    <xf numFmtId="171" fontId="1" fillId="6" borderId="57" xfId="0" applyNumberFormat="1" applyFont="1" applyFill="1" applyBorder="1"/>
    <xf numFmtId="171" fontId="1" fillId="6" borderId="61" xfId="0" applyNumberFormat="1" applyFont="1" applyFill="1" applyBorder="1"/>
    <xf numFmtId="42" fontId="1" fillId="6" borderId="21" xfId="2" applyNumberFormat="1" applyFont="1" applyFill="1" applyBorder="1" applyProtection="1"/>
    <xf numFmtId="49" fontId="1" fillId="11" borderId="55" xfId="3" applyNumberFormat="1" applyFill="1" applyBorder="1" applyAlignment="1">
      <alignment horizontal="left" vertical="top"/>
    </xf>
    <xf numFmtId="171" fontId="1" fillId="6" borderId="59" xfId="0" applyNumberFormat="1" applyFont="1" applyFill="1" applyBorder="1"/>
    <xf numFmtId="42" fontId="1" fillId="6" borderId="18" xfId="2" applyNumberFormat="1" applyFont="1" applyFill="1" applyBorder="1" applyProtection="1"/>
    <xf numFmtId="42" fontId="1" fillId="6" borderId="26" xfId="2" applyNumberFormat="1" applyFont="1" applyFill="1" applyBorder="1" applyProtection="1"/>
    <xf numFmtId="49" fontId="1" fillId="11" borderId="27" xfId="3" applyNumberFormat="1" applyFill="1" applyBorder="1" applyAlignment="1">
      <alignment horizontal="left" vertical="top" wrapText="1"/>
    </xf>
    <xf numFmtId="49" fontId="1" fillId="11" borderId="39" xfId="3" applyNumberFormat="1" applyFill="1" applyBorder="1" applyAlignment="1">
      <alignment horizontal="left" vertical="top" wrapText="1"/>
    </xf>
    <xf numFmtId="49" fontId="1" fillId="11" borderId="28" xfId="3" applyNumberFormat="1" applyFill="1" applyBorder="1" applyAlignment="1">
      <alignment horizontal="left" vertical="top" wrapText="1"/>
    </xf>
    <xf numFmtId="0" fontId="2" fillId="4" borderId="36" xfId="3" applyFont="1" applyFill="1" applyBorder="1" applyAlignment="1">
      <alignment horizontal="left"/>
    </xf>
    <xf numFmtId="0" fontId="2" fillId="4" borderId="16" xfId="3" applyFont="1" applyFill="1" applyBorder="1" applyAlignment="1">
      <alignment horizontal="right"/>
    </xf>
    <xf numFmtId="0" fontId="2" fillId="4" borderId="22" xfId="3" applyFont="1" applyFill="1" applyBorder="1" applyAlignment="1">
      <alignment horizontal="center"/>
    </xf>
    <xf numFmtId="49" fontId="1" fillId="11" borderId="45" xfId="0" applyNumberFormat="1" applyFont="1" applyFill="1" applyBorder="1" applyAlignment="1">
      <alignment horizontal="left" vertical="top"/>
    </xf>
    <xf numFmtId="49" fontId="1" fillId="11" borderId="34" xfId="0" applyNumberFormat="1" applyFont="1" applyFill="1" applyBorder="1" applyAlignment="1">
      <alignment horizontal="left" vertical="top" shrinkToFit="1"/>
    </xf>
    <xf numFmtId="49" fontId="1" fillId="11" borderId="34" xfId="3" applyNumberFormat="1" applyFill="1" applyBorder="1" applyAlignment="1">
      <alignment horizontal="left" vertical="top" wrapText="1"/>
    </xf>
    <xf numFmtId="49" fontId="1" fillId="11" borderId="35" xfId="3" applyNumberFormat="1" applyFill="1" applyBorder="1" applyAlignment="1">
      <alignment horizontal="left" vertical="top" wrapText="1"/>
    </xf>
    <xf numFmtId="171" fontId="1" fillId="6" borderId="58" xfId="0" applyNumberFormat="1" applyFont="1" applyFill="1" applyBorder="1"/>
    <xf numFmtId="49" fontId="1" fillId="11" borderId="45" xfId="3" applyNumberFormat="1" applyFill="1" applyBorder="1" applyAlignment="1">
      <alignment horizontal="left" vertical="top"/>
    </xf>
    <xf numFmtId="171" fontId="1" fillId="6" borderId="60" xfId="0" applyNumberFormat="1" applyFont="1" applyFill="1" applyBorder="1"/>
    <xf numFmtId="42" fontId="1" fillId="6" borderId="20" xfId="2" applyNumberFormat="1" applyFont="1" applyFill="1" applyBorder="1" applyProtection="1"/>
    <xf numFmtId="49" fontId="1" fillId="11" borderId="56" xfId="0" applyNumberFormat="1" applyFont="1" applyFill="1" applyBorder="1" applyAlignment="1">
      <alignment horizontal="left" vertical="top"/>
    </xf>
    <xf numFmtId="49" fontId="1" fillId="11" borderId="56" xfId="3" applyNumberFormat="1" applyFill="1" applyBorder="1" applyAlignment="1">
      <alignment horizontal="left" vertical="top"/>
    </xf>
    <xf numFmtId="171" fontId="1" fillId="6" borderId="62" xfId="0" applyNumberFormat="1" applyFont="1" applyFill="1" applyBorder="1"/>
    <xf numFmtId="49" fontId="1" fillId="11" borderId="37" xfId="3" applyNumberFormat="1" applyFill="1" applyBorder="1" applyAlignment="1">
      <alignment horizontal="left" vertical="top" wrapText="1"/>
    </xf>
    <xf numFmtId="49" fontId="1" fillId="11" borderId="38" xfId="3" applyNumberFormat="1" applyFill="1" applyBorder="1" applyAlignment="1">
      <alignment horizontal="left" vertical="top" wrapText="1"/>
    </xf>
    <xf numFmtId="0" fontId="11" fillId="4" borderId="0" xfId="3" applyFont="1" applyFill="1" applyAlignment="1">
      <alignment wrapText="1"/>
    </xf>
    <xf numFmtId="0" fontId="11" fillId="4" borderId="7" xfId="3" applyFont="1" applyFill="1" applyBorder="1"/>
    <xf numFmtId="0" fontId="6" fillId="4" borderId="8" xfId="3" applyFont="1" applyFill="1" applyBorder="1" applyAlignment="1">
      <alignment horizontal="left" indent="1"/>
    </xf>
    <xf numFmtId="0" fontId="31" fillId="4" borderId="8" xfId="3" applyFont="1" applyFill="1" applyBorder="1" applyAlignment="1">
      <alignment horizontal="left" indent="1"/>
    </xf>
    <xf numFmtId="49" fontId="1" fillId="11" borderId="44" xfId="0" applyNumberFormat="1" applyFont="1" applyFill="1" applyBorder="1" applyAlignment="1">
      <alignment horizontal="left" vertical="top" shrinkToFit="1"/>
    </xf>
    <xf numFmtId="49" fontId="1" fillId="11" borderId="40" xfId="0" applyNumberFormat="1" applyFont="1" applyFill="1" applyBorder="1" applyAlignment="1">
      <alignment horizontal="left" vertical="top" shrinkToFit="1"/>
    </xf>
    <xf numFmtId="0" fontId="15" fillId="0" borderId="0" xfId="3" applyFont="1" applyAlignment="1">
      <alignment horizontal="left" vertical="top" wrapText="1"/>
    </xf>
    <xf numFmtId="169" fontId="15" fillId="0" borderId="0" xfId="3" applyNumberFormat="1" applyFont="1" applyAlignment="1">
      <alignment horizontal="left" vertical="top" wrapText="1"/>
    </xf>
    <xf numFmtId="49" fontId="1" fillId="11" borderId="44" xfId="3" applyNumberFormat="1" applyFill="1" applyBorder="1" applyAlignment="1">
      <alignment horizontal="left" vertical="top" wrapText="1"/>
    </xf>
    <xf numFmtId="42" fontId="1" fillId="6" borderId="25" xfId="2" applyNumberFormat="1" applyFont="1" applyFill="1" applyBorder="1" applyProtection="1"/>
    <xf numFmtId="0" fontId="2" fillId="4" borderId="16" xfId="3" applyFont="1" applyFill="1" applyBorder="1" applyAlignment="1">
      <alignment horizontal="center"/>
    </xf>
    <xf numFmtId="0" fontId="3" fillId="4" borderId="3" xfId="3" applyFont="1" applyFill="1" applyBorder="1" applyAlignment="1">
      <alignment horizontal="right"/>
    </xf>
    <xf numFmtId="0" fontId="3" fillId="4" borderId="2" xfId="3" applyFont="1" applyFill="1" applyBorder="1" applyAlignment="1">
      <alignment horizontal="right"/>
    </xf>
    <xf numFmtId="0" fontId="3" fillId="4" borderId="2" xfId="3" applyFont="1" applyFill="1" applyBorder="1" applyAlignment="1">
      <alignment horizontal="left"/>
    </xf>
    <xf numFmtId="0" fontId="3" fillId="4" borderId="2" xfId="3" applyFont="1" applyFill="1" applyBorder="1" applyAlignment="1">
      <alignment horizontal="center"/>
    </xf>
    <xf numFmtId="0" fontId="12" fillId="0" borderId="0" xfId="3" applyFont="1" applyAlignment="1">
      <alignment horizontal="left" vertical="center"/>
    </xf>
    <xf numFmtId="0" fontId="2" fillId="0" borderId="0" xfId="3" applyFont="1" applyAlignment="1">
      <alignment vertical="center" wrapText="1"/>
    </xf>
    <xf numFmtId="0" fontId="2" fillId="0" borderId="0" xfId="3" applyFont="1" applyAlignment="1">
      <alignment horizontal="left" vertical="center"/>
    </xf>
    <xf numFmtId="0" fontId="2" fillId="0" borderId="0" xfId="3" applyFont="1" applyAlignment="1">
      <alignment horizontal="center" vertical="center" wrapText="1"/>
    </xf>
    <xf numFmtId="0" fontId="1" fillId="0" borderId="0" xfId="3" applyAlignment="1">
      <alignment vertical="center" wrapText="1"/>
    </xf>
    <xf numFmtId="0" fontId="12" fillId="0" borderId="0" xfId="3" applyFont="1" applyAlignment="1">
      <alignment horizontal="left" vertical="center" wrapText="1"/>
    </xf>
    <xf numFmtId="0" fontId="12" fillId="0" borderId="0" xfId="3" applyFont="1" applyAlignment="1">
      <alignment horizontal="center" vertical="center" wrapText="1"/>
    </xf>
    <xf numFmtId="0" fontId="3" fillId="0" borderId="0" xfId="3" applyFont="1" applyAlignment="1">
      <alignment horizontal="left" vertical="center"/>
    </xf>
    <xf numFmtId="0" fontId="4" fillId="0" borderId="0" xfId="3" applyFont="1" applyAlignment="1">
      <alignment vertical="center"/>
    </xf>
    <xf numFmtId="0" fontId="29" fillId="0" borderId="0" xfId="3" applyFont="1" applyAlignment="1">
      <alignment vertical="center" wrapText="1"/>
    </xf>
    <xf numFmtId="0" fontId="29" fillId="0" borderId="0" xfId="3" applyFont="1" applyAlignment="1">
      <alignment vertical="center"/>
    </xf>
    <xf numFmtId="0" fontId="4" fillId="0" borderId="0" xfId="3" applyFont="1" applyAlignment="1">
      <alignment vertical="center" wrapText="1"/>
    </xf>
    <xf numFmtId="0" fontId="18" fillId="4" borderId="14" xfId="3" applyFont="1" applyFill="1" applyBorder="1" applyAlignment="1">
      <alignment horizontal="left" vertical="center" wrapText="1"/>
    </xf>
    <xf numFmtId="0" fontId="18" fillId="4" borderId="14" xfId="3" applyFont="1" applyFill="1" applyBorder="1" applyAlignment="1">
      <alignment horizontal="center" vertical="center" wrapText="1"/>
    </xf>
    <xf numFmtId="0" fontId="4" fillId="0" borderId="14" xfId="0" applyFont="1" applyBorder="1" applyAlignment="1">
      <alignment horizontal="right" vertical="center"/>
    </xf>
    <xf numFmtId="1" fontId="4" fillId="11" borderId="14" xfId="3" applyNumberFormat="1" applyFont="1" applyFill="1" applyBorder="1" applyAlignment="1">
      <alignment horizontal="center" vertical="center" wrapText="1"/>
    </xf>
    <xf numFmtId="1" fontId="4" fillId="6" borderId="14" xfId="3" applyNumberFormat="1" applyFont="1" applyFill="1" applyBorder="1" applyAlignment="1">
      <alignment horizontal="center" vertical="center" wrapText="1"/>
    </xf>
    <xf numFmtId="0" fontId="4" fillId="0" borderId="0" xfId="3" applyFont="1" applyAlignment="1">
      <alignment horizontal="right" vertical="center"/>
    </xf>
    <xf numFmtId="0" fontId="4" fillId="0" borderId="0" xfId="3" applyFont="1" applyAlignment="1">
      <alignment horizontal="center" vertical="center" wrapText="1"/>
    </xf>
    <xf numFmtId="0" fontId="3" fillId="0" borderId="14" xfId="0" applyFont="1" applyBorder="1" applyAlignment="1">
      <alignment horizontal="right" vertical="center"/>
    </xf>
    <xf numFmtId="1" fontId="3" fillId="0" borderId="14" xfId="3" applyNumberFormat="1" applyFont="1" applyBorder="1" applyAlignment="1">
      <alignment horizontal="center" vertical="center" wrapText="1"/>
    </xf>
    <xf numFmtId="0" fontId="19" fillId="0" borderId="14" xfId="3" applyFont="1" applyBorder="1" applyAlignment="1">
      <alignment horizontal="right" vertical="center"/>
    </xf>
    <xf numFmtId="1" fontId="19" fillId="6" borderId="14" xfId="3" applyNumberFormat="1" applyFont="1" applyFill="1" applyBorder="1" applyAlignment="1">
      <alignment vertical="center" wrapText="1"/>
    </xf>
    <xf numFmtId="0" fontId="19" fillId="0" borderId="14" xfId="3" quotePrefix="1" applyFont="1" applyBorder="1" applyAlignment="1">
      <alignment horizontal="right" vertical="center"/>
    </xf>
    <xf numFmtId="1" fontId="19" fillId="6" borderId="14" xfId="3" quotePrefix="1" applyNumberFormat="1" applyFont="1" applyFill="1" applyBorder="1" applyAlignment="1">
      <alignment vertical="center" wrapText="1"/>
    </xf>
    <xf numFmtId="0" fontId="18" fillId="0" borderId="14" xfId="3" applyFont="1" applyBorder="1" applyAlignment="1">
      <alignment horizontal="right" vertical="center"/>
    </xf>
    <xf numFmtId="1" fontId="18" fillId="0" borderId="14" xfId="3" applyNumberFormat="1" applyFont="1" applyBorder="1" applyAlignment="1">
      <alignment horizontal="center" vertical="center" wrapText="1"/>
    </xf>
    <xf numFmtId="0" fontId="18" fillId="14" borderId="31" xfId="3" applyFont="1" applyFill="1" applyBorder="1" applyAlignment="1">
      <alignment horizontal="left" vertical="center" wrapText="1"/>
    </xf>
    <xf numFmtId="0" fontId="18" fillId="14" borderId="14" xfId="3" applyFont="1" applyFill="1" applyBorder="1" applyAlignment="1">
      <alignment horizontal="center" vertical="center" wrapText="1"/>
    </xf>
    <xf numFmtId="41" fontId="19" fillId="6" borderId="14" xfId="1" applyNumberFormat="1" applyFont="1" applyFill="1" applyBorder="1" applyAlignment="1" applyProtection="1">
      <alignment vertical="center" wrapText="1"/>
    </xf>
    <xf numFmtId="43" fontId="19" fillId="6" borderId="14" xfId="1" applyFont="1" applyFill="1" applyBorder="1" applyAlignment="1" applyProtection="1">
      <alignment vertical="center" wrapText="1"/>
    </xf>
    <xf numFmtId="41" fontId="19" fillId="6" borderId="14" xfId="1" applyNumberFormat="1" applyFont="1" applyFill="1" applyBorder="1" applyAlignment="1" applyProtection="1">
      <alignment horizontal="right" vertical="center" wrapText="1"/>
    </xf>
    <xf numFmtId="43" fontId="19" fillId="6" borderId="14" xfId="1" quotePrefix="1" applyFont="1" applyFill="1" applyBorder="1" applyAlignment="1" applyProtection="1">
      <alignment vertical="center" wrapText="1"/>
    </xf>
    <xf numFmtId="41" fontId="19" fillId="6" borderId="14" xfId="1" quotePrefix="1" applyNumberFormat="1" applyFont="1" applyFill="1" applyBorder="1" applyAlignment="1" applyProtection="1">
      <alignment vertical="center" wrapText="1"/>
    </xf>
    <xf numFmtId="41" fontId="18" fillId="6" borderId="14" xfId="1" applyNumberFormat="1" applyFont="1" applyFill="1" applyBorder="1" applyAlignment="1" applyProtection="1">
      <alignment vertical="center"/>
    </xf>
    <xf numFmtId="0" fontId="1" fillId="0" borderId="0" xfId="3" applyAlignment="1">
      <alignment horizontal="center" vertical="center"/>
    </xf>
    <xf numFmtId="0" fontId="1" fillId="0" borderId="0" xfId="3" applyAlignment="1">
      <alignment horizontal="center" vertical="center" wrapText="1"/>
    </xf>
    <xf numFmtId="0" fontId="2" fillId="0" borderId="0" xfId="3" applyFont="1" applyAlignment="1">
      <alignment horizontal="center" vertical="center" textRotation="90" wrapText="1"/>
    </xf>
    <xf numFmtId="0" fontId="1" fillId="0" borderId="0" xfId="0" applyFont="1"/>
    <xf numFmtId="0" fontId="33" fillId="5" borderId="3" xfId="3" applyFont="1" applyFill="1" applyBorder="1"/>
    <xf numFmtId="49" fontId="2" fillId="0" borderId="0" xfId="3" applyNumberFormat="1" applyFont="1" applyAlignment="1">
      <alignment horizontal="center"/>
    </xf>
    <xf numFmtId="0" fontId="4" fillId="0" borderId="11" xfId="3" applyFont="1" applyBorder="1" applyAlignment="1">
      <alignment vertical="center"/>
    </xf>
    <xf numFmtId="0" fontId="4" fillId="0" borderId="10" xfId="3" applyFont="1" applyBorder="1" applyAlignment="1">
      <alignment vertical="center" wrapText="1"/>
    </xf>
    <xf numFmtId="0" fontId="4" fillId="0" borderId="9" xfId="3" applyFont="1" applyBorder="1" applyAlignment="1">
      <alignment vertical="center" wrapText="1"/>
    </xf>
    <xf numFmtId="0" fontId="4" fillId="0" borderId="5" xfId="3" applyFont="1" applyBorder="1" applyAlignment="1">
      <alignment vertical="top" wrapText="1"/>
    </xf>
    <xf numFmtId="0" fontId="4" fillId="0" borderId="4" xfId="3" applyFont="1" applyBorder="1" applyAlignment="1">
      <alignment vertical="top" wrapText="1"/>
    </xf>
    <xf numFmtId="0" fontId="4" fillId="0" borderId="0" xfId="3" applyFont="1" applyAlignment="1">
      <alignment horizontal="left" vertical="top" wrapText="1"/>
    </xf>
    <xf numFmtId="0" fontId="26" fillId="5" borderId="14"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48"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8" fillId="0" borderId="0" xfId="0" applyFont="1" applyAlignment="1">
      <alignment horizontal="justify" vertical="center"/>
    </xf>
    <xf numFmtId="0" fontId="9" fillId="12" borderId="14" xfId="0" applyFont="1" applyFill="1" applyBorder="1"/>
    <xf numFmtId="0" fontId="9" fillId="12" borderId="32" xfId="0" applyFont="1" applyFill="1" applyBorder="1"/>
    <xf numFmtId="0" fontId="9" fillId="12" borderId="50" xfId="0" applyFont="1" applyFill="1" applyBorder="1"/>
    <xf numFmtId="0" fontId="9" fillId="12" borderId="51" xfId="0" applyFont="1" applyFill="1" applyBorder="1"/>
    <xf numFmtId="0" fontId="27" fillId="11" borderId="14" xfId="0" applyFont="1" applyFill="1" applyBorder="1" applyAlignment="1">
      <alignment horizontal="center" vertical="center" wrapText="1"/>
    </xf>
    <xf numFmtId="0" fontId="34" fillId="11" borderId="14"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0" fillId="6" borderId="50" xfId="0" applyFill="1" applyBorder="1" applyAlignment="1">
      <alignment horizontal="center"/>
    </xf>
    <xf numFmtId="0" fontId="1" fillId="6" borderId="0" xfId="0" applyFont="1" applyFill="1" applyAlignment="1">
      <alignment horizontal="center" wrapText="1"/>
    </xf>
    <xf numFmtId="0" fontId="0" fillId="16" borderId="50" xfId="0" applyFill="1" applyBorder="1" applyAlignment="1">
      <alignment horizontal="center"/>
    </xf>
    <xf numFmtId="0" fontId="1" fillId="16" borderId="63" xfId="0" applyFont="1" applyFill="1" applyBorder="1" applyAlignment="1">
      <alignment horizontal="center" wrapText="1"/>
    </xf>
    <xf numFmtId="9" fontId="0" fillId="11" borderId="51" xfId="0" applyNumberFormat="1" applyFill="1" applyBorder="1" applyAlignment="1">
      <alignment horizontal="center"/>
    </xf>
    <xf numFmtId="9" fontId="27" fillId="11" borderId="14" xfId="0" applyNumberFormat="1" applyFont="1" applyFill="1" applyBorder="1" applyAlignment="1">
      <alignment horizontal="center" vertical="center" wrapText="1"/>
    </xf>
    <xf numFmtId="0" fontId="1" fillId="6" borderId="50" xfId="0" applyFont="1" applyFill="1" applyBorder="1" applyAlignment="1">
      <alignment horizontal="center" wrapText="1"/>
    </xf>
    <xf numFmtId="0" fontId="0" fillId="6" borderId="51" xfId="0" applyFill="1" applyBorder="1" applyAlignment="1">
      <alignment horizontal="center"/>
    </xf>
    <xf numFmtId="0" fontId="0" fillId="16" borderId="33" xfId="0" applyFill="1" applyBorder="1" applyAlignment="1">
      <alignment horizontal="center" wrapText="1"/>
    </xf>
    <xf numFmtId="0" fontId="0" fillId="16" borderId="64" xfId="0" applyFill="1" applyBorder="1" applyAlignment="1">
      <alignment horizontal="center"/>
    </xf>
    <xf numFmtId="0" fontId="1" fillId="6" borderId="51" xfId="0" applyFont="1" applyFill="1" applyBorder="1" applyAlignment="1">
      <alignment horizontal="center" wrapText="1"/>
    </xf>
    <xf numFmtId="0" fontId="0" fillId="16" borderId="65" xfId="0" applyFill="1" applyBorder="1" applyAlignment="1">
      <alignment horizontal="center"/>
    </xf>
    <xf numFmtId="0" fontId="1" fillId="16" borderId="66" xfId="0" applyFont="1" applyFill="1" applyBorder="1" applyAlignment="1">
      <alignment horizontal="center" wrapText="1"/>
    </xf>
    <xf numFmtId="0" fontId="1" fillId="6" borderId="50" xfId="0" applyFont="1" applyFill="1" applyBorder="1" applyAlignment="1">
      <alignment horizontal="center"/>
    </xf>
    <xf numFmtId="9" fontId="0" fillId="16" borderId="65" xfId="0" applyNumberFormat="1" applyFill="1" applyBorder="1" applyAlignment="1">
      <alignment horizontal="center"/>
    </xf>
    <xf numFmtId="0" fontId="1" fillId="16" borderId="65" xfId="0" applyFont="1" applyFill="1" applyBorder="1" applyAlignment="1">
      <alignment horizontal="center"/>
    </xf>
    <xf numFmtId="0" fontId="1" fillId="16" borderId="64" xfId="0" applyFont="1" applyFill="1" applyBorder="1" applyAlignment="1">
      <alignment horizontal="center" wrapText="1"/>
    </xf>
    <xf numFmtId="10" fontId="1" fillId="16" borderId="65" xfId="0" applyNumberFormat="1" applyFont="1" applyFill="1" applyBorder="1" applyAlignment="1">
      <alignment horizontal="center"/>
    </xf>
    <xf numFmtId="0" fontId="9" fillId="12" borderId="50" xfId="0" applyFont="1" applyFill="1" applyBorder="1" applyAlignment="1">
      <alignment horizontal="center"/>
    </xf>
    <xf numFmtId="0" fontId="9" fillId="12" borderId="51" xfId="0" applyFont="1" applyFill="1" applyBorder="1" applyAlignment="1">
      <alignment horizontal="center"/>
    </xf>
    <xf numFmtId="0" fontId="9" fillId="12" borderId="14" xfId="0" applyFont="1" applyFill="1" applyBorder="1" applyAlignment="1">
      <alignment horizontal="center"/>
    </xf>
    <xf numFmtId="0" fontId="27" fillId="13" borderId="14" xfId="0" applyFont="1" applyFill="1" applyBorder="1" applyAlignment="1">
      <alignment horizontal="center" vertical="center" wrapText="1"/>
    </xf>
    <xf numFmtId="0" fontId="34" fillId="13" borderId="14" xfId="0" applyFont="1" applyFill="1" applyBorder="1" applyAlignment="1">
      <alignment horizontal="center" vertical="center" wrapText="1"/>
    </xf>
    <xf numFmtId="0" fontId="34" fillId="6" borderId="51" xfId="0" applyFont="1" applyFill="1" applyBorder="1" applyAlignment="1">
      <alignment horizontal="center" wrapText="1"/>
    </xf>
    <xf numFmtId="0" fontId="1" fillId="16" borderId="50" xfId="0" applyFont="1" applyFill="1" applyBorder="1" applyAlignment="1">
      <alignment horizontal="center"/>
    </xf>
    <xf numFmtId="9" fontId="0" fillId="13" borderId="51" xfId="0" applyNumberFormat="1" applyFill="1" applyBorder="1" applyAlignment="1">
      <alignment horizontal="center"/>
    </xf>
    <xf numFmtId="9" fontId="27" fillId="13" borderId="14" xfId="0" applyNumberFormat="1" applyFont="1" applyFill="1" applyBorder="1" applyAlignment="1">
      <alignment horizontal="center" vertical="center" wrapText="1"/>
    </xf>
    <xf numFmtId="9" fontId="0" fillId="6" borderId="50" xfId="0" applyNumberFormat="1" applyFill="1" applyBorder="1" applyAlignment="1">
      <alignment horizontal="center"/>
    </xf>
    <xf numFmtId="9" fontId="1" fillId="16" borderId="65" xfId="0" applyNumberFormat="1" applyFont="1" applyFill="1" applyBorder="1" applyAlignment="1">
      <alignment horizontal="center"/>
    </xf>
    <xf numFmtId="0" fontId="1" fillId="16" borderId="64" xfId="0" applyFont="1" applyFill="1" applyBorder="1" applyAlignment="1">
      <alignment horizontal="center"/>
    </xf>
    <xf numFmtId="1" fontId="0" fillId="6" borderId="50" xfId="0" applyNumberFormat="1" applyFill="1" applyBorder="1" applyAlignment="1">
      <alignment horizontal="center"/>
    </xf>
    <xf numFmtId="9" fontId="0" fillId="6" borderId="52" xfId="0" applyNumberFormat="1" applyFill="1" applyBorder="1" applyAlignment="1">
      <alignment horizontal="center"/>
    </xf>
    <xf numFmtId="0" fontId="0" fillId="6" borderId="53" xfId="0" applyFill="1" applyBorder="1" applyAlignment="1">
      <alignment horizontal="center"/>
    </xf>
    <xf numFmtId="9" fontId="1" fillId="16" borderId="67" xfId="0" applyNumberFormat="1" applyFont="1" applyFill="1" applyBorder="1" applyAlignment="1">
      <alignment horizontal="center"/>
    </xf>
    <xf numFmtId="0" fontId="1" fillId="16" borderId="68" xfId="0" applyFont="1" applyFill="1" applyBorder="1" applyAlignment="1">
      <alignment horizontal="center" wrapText="1"/>
    </xf>
    <xf numFmtId="9" fontId="0" fillId="13" borderId="53" xfId="0" applyNumberFormat="1" applyFill="1" applyBorder="1" applyAlignment="1">
      <alignment horizontal="center"/>
    </xf>
    <xf numFmtId="0" fontId="0" fillId="0" borderId="0" xfId="0" applyAlignment="1">
      <alignment horizontal="center"/>
    </xf>
    <xf numFmtId="0" fontId="2" fillId="0" borderId="0" xfId="0" applyFont="1"/>
    <xf numFmtId="0" fontId="1" fillId="0" borderId="0" xfId="0" applyFont="1" applyAlignment="1">
      <alignment wrapText="1"/>
    </xf>
    <xf numFmtId="0" fontId="1" fillId="0" borderId="0" xfId="3" applyAlignment="1">
      <alignment horizontal="left" vertical="center" wrapText="1"/>
    </xf>
    <xf numFmtId="0" fontId="12" fillId="0" borderId="0" xfId="3" applyFont="1" applyAlignment="1">
      <alignment horizontal="center"/>
    </xf>
    <xf numFmtId="0" fontId="14" fillId="10" borderId="0" xfId="3" applyFont="1" applyFill="1" applyAlignment="1">
      <alignment horizontal="left" vertical="center" wrapText="1"/>
    </xf>
    <xf numFmtId="0" fontId="1" fillId="0" borderId="6" xfId="3" applyBorder="1" applyAlignment="1">
      <alignment horizontal="left" vertical="center" wrapText="1"/>
    </xf>
    <xf numFmtId="0" fontId="1" fillId="0" borderId="5" xfId="3" applyBorder="1" applyAlignment="1">
      <alignment horizontal="left" vertical="center" wrapText="1"/>
    </xf>
    <xf numFmtId="0" fontId="1" fillId="0" borderId="4" xfId="3" applyBorder="1" applyAlignment="1">
      <alignment horizontal="left" vertical="center" wrapText="1"/>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 xfId="3" applyFont="1" applyBorder="1" applyAlignment="1">
      <alignment horizontal="center" vertical="center"/>
    </xf>
    <xf numFmtId="0" fontId="4" fillId="0" borderId="11"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2" fillId="6" borderId="3"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1" xfId="3" applyFont="1" applyFill="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8" xfId="3" applyBorder="1" applyAlignment="1">
      <alignment horizontal="left" wrapText="1"/>
    </xf>
    <xf numFmtId="0" fontId="1" fillId="0" borderId="0" xfId="3" applyAlignment="1">
      <alignment horizontal="left" wrapText="1"/>
    </xf>
    <xf numFmtId="0" fontId="1" fillId="0" borderId="7" xfId="3" applyBorder="1" applyAlignment="1">
      <alignment horizontal="left" wrapText="1"/>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29" fillId="0" borderId="32" xfId="3" applyFont="1" applyBorder="1" applyAlignment="1">
      <alignment horizontal="left" wrapText="1"/>
    </xf>
    <xf numFmtId="0" fontId="29" fillId="0" borderId="15" xfId="3" applyFont="1" applyBorder="1" applyAlignment="1">
      <alignment horizontal="left" wrapText="1"/>
    </xf>
    <xf numFmtId="0" fontId="29" fillId="0" borderId="30" xfId="3" applyFont="1" applyBorder="1" applyAlignment="1">
      <alignment horizontal="left" wrapText="1"/>
    </xf>
    <xf numFmtId="0" fontId="18" fillId="4" borderId="32" xfId="3" applyFont="1" applyFill="1" applyBorder="1" applyAlignment="1">
      <alignment horizontal="center" vertical="center" wrapText="1"/>
    </xf>
    <xf numFmtId="0" fontId="18" fillId="4" borderId="15" xfId="3" applyFont="1" applyFill="1" applyBorder="1" applyAlignment="1">
      <alignment horizontal="center" vertical="center" wrapText="1"/>
    </xf>
    <xf numFmtId="0" fontId="18" fillId="4" borderId="30" xfId="3" applyFont="1" applyFill="1" applyBorder="1" applyAlignment="1">
      <alignment horizontal="center" vertical="center" wrapText="1"/>
    </xf>
    <xf numFmtId="0" fontId="19" fillId="0" borderId="14" xfId="3" quotePrefix="1" applyFont="1" applyBorder="1" applyAlignment="1">
      <alignment horizontal="right" vertical="center"/>
    </xf>
    <xf numFmtId="0" fontId="18" fillId="0" borderId="14" xfId="3" applyFont="1" applyBorder="1" applyAlignment="1">
      <alignment horizontal="right" vertical="center"/>
    </xf>
    <xf numFmtId="0" fontId="19" fillId="0" borderId="14" xfId="3" applyFont="1" applyBorder="1" applyAlignment="1">
      <alignment horizontal="right" vertical="center"/>
    </xf>
    <xf numFmtId="0" fontId="3" fillId="0" borderId="14" xfId="0" applyFont="1" applyBorder="1" applyAlignment="1">
      <alignment horizontal="right" vertical="center"/>
    </xf>
    <xf numFmtId="0" fontId="18" fillId="4" borderId="14" xfId="3" applyFont="1" applyFill="1" applyBorder="1" applyAlignment="1">
      <alignment horizontal="left" vertical="center" wrapText="1"/>
    </xf>
    <xf numFmtId="0" fontId="4" fillId="0" borderId="32" xfId="0" applyFont="1" applyBorder="1" applyAlignment="1">
      <alignment horizontal="right" vertical="center"/>
    </xf>
    <xf numFmtId="0" fontId="4" fillId="0" borderId="30" xfId="0" applyFont="1" applyBorder="1" applyAlignment="1">
      <alignment horizontal="right" vertical="center"/>
    </xf>
    <xf numFmtId="0" fontId="18" fillId="14" borderId="14" xfId="3" applyFont="1" applyFill="1" applyBorder="1" applyAlignment="1">
      <alignment horizontal="left" vertical="center" wrapText="1"/>
    </xf>
    <xf numFmtId="0" fontId="27" fillId="0" borderId="14" xfId="0" applyFont="1" applyBorder="1" applyAlignment="1">
      <alignment horizontal="center" vertical="center" wrapText="1"/>
    </xf>
    <xf numFmtId="0" fontId="27" fillId="11" borderId="14" xfId="0" applyFont="1" applyFill="1" applyBorder="1" applyAlignment="1">
      <alignment horizontal="center" vertical="center" wrapText="1"/>
    </xf>
    <xf numFmtId="0" fontId="34" fillId="11" borderId="31" xfId="0" applyFont="1" applyFill="1" applyBorder="1" applyAlignment="1">
      <alignment horizontal="center" vertical="center" wrapText="1"/>
    </xf>
    <xf numFmtId="0" fontId="34" fillId="11" borderId="33"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7" fillId="13" borderId="33" xfId="0" applyFont="1" applyFill="1" applyBorder="1" applyAlignment="1">
      <alignment horizontal="center" vertical="center" wrapText="1"/>
    </xf>
    <xf numFmtId="0" fontId="34" fillId="13" borderId="31" xfId="0" applyFont="1" applyFill="1" applyBorder="1" applyAlignment="1">
      <alignment horizontal="center" vertical="center" wrapText="1"/>
    </xf>
    <xf numFmtId="0" fontId="34" fillId="13" borderId="33" xfId="0" applyFont="1" applyFill="1" applyBorder="1" applyAlignment="1">
      <alignment horizontal="center" vertical="center" wrapText="1"/>
    </xf>
    <xf numFmtId="0" fontId="35" fillId="13" borderId="33" xfId="0" applyFont="1" applyFill="1" applyBorder="1" applyAlignment="1">
      <alignment horizontal="center" vertical="center" wrapText="1"/>
    </xf>
    <xf numFmtId="0" fontId="34" fillId="11" borderId="14" xfId="0" applyFont="1" applyFill="1" applyBorder="1" applyAlignment="1">
      <alignment horizontal="center" vertical="center" wrapText="1"/>
    </xf>
    <xf numFmtId="0" fontId="25" fillId="0" borderId="6" xfId="3" applyFont="1" applyBorder="1" applyAlignment="1">
      <alignment horizontal="left" vertical="top" wrapText="1" indent="1"/>
    </xf>
    <xf numFmtId="0" fontId="25" fillId="0" borderId="5" xfId="3" applyFont="1" applyBorder="1" applyAlignment="1">
      <alignment horizontal="left" vertical="top" wrapText="1" indent="1"/>
    </xf>
  </cellXfs>
  <cellStyles count="6">
    <cellStyle name="Comma" xfId="1" builtinId="3"/>
    <cellStyle name="Currency" xfId="2" builtinId="4"/>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38</xdr:row>
      <xdr:rowOff>76200</xdr:rowOff>
    </xdr:from>
    <xdr:to>
      <xdr:col>0</xdr:col>
      <xdr:colOff>514350</xdr:colOff>
      <xdr:row>43</xdr:row>
      <xdr:rowOff>95250</xdr:rowOff>
    </xdr:to>
    <xdr:sp macro="" textlink="">
      <xdr:nvSpPr>
        <xdr:cNvPr id="2" name="Check Box 3" hidden="1">
          <a:extLst>
            <a:ext uri="{63B3BB69-23CF-44E3-9099-C40C66FF867C}">
              <a14:compatExt xmlns:a14="http://schemas.microsoft.com/office/drawing/2010/main" spid="_x0000_s31747"/>
            </a:ext>
            <a:ext uri="{FF2B5EF4-FFF2-40B4-BE49-F238E27FC236}">
              <a16:creationId xmlns:a16="http://schemas.microsoft.com/office/drawing/2014/main" id="{2884129F-951E-4FED-BCD0-45BEF016F4DF}"/>
            </a:ext>
          </a:extLst>
        </xdr:cNvPr>
        <xdr:cNvSpPr/>
      </xdr:nvSpPr>
      <xdr:spPr bwMode="auto">
        <a:xfrm>
          <a:off x="228600" y="3257550"/>
          <a:ext cx="2857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3" name="Check Box 4" hidden="1">
          <a:extLst>
            <a:ext uri="{63B3BB69-23CF-44E3-9099-C40C66FF867C}">
              <a14:compatExt xmlns:a14="http://schemas.microsoft.com/office/drawing/2010/main" spid="_x0000_s31748"/>
            </a:ext>
            <a:ext uri="{FF2B5EF4-FFF2-40B4-BE49-F238E27FC236}">
              <a16:creationId xmlns:a16="http://schemas.microsoft.com/office/drawing/2014/main" id="{7D490829-9196-4F00-99F0-29D81272899F}"/>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38</xdr:row>
      <xdr:rowOff>76200</xdr:rowOff>
    </xdr:from>
    <xdr:to>
      <xdr:col>0</xdr:col>
      <xdr:colOff>514350</xdr:colOff>
      <xdr:row>43</xdr:row>
      <xdr:rowOff>111125</xdr:rowOff>
    </xdr:to>
    <xdr:sp macro="" textlink="">
      <xdr:nvSpPr>
        <xdr:cNvPr id="4" name="Check Box 3" hidden="1">
          <a:extLst>
            <a:ext uri="{63B3BB69-23CF-44E3-9099-C40C66FF867C}">
              <a14:compatExt xmlns:a14="http://schemas.microsoft.com/office/drawing/2010/main" spid="_x0000_s31747"/>
            </a:ext>
            <a:ext uri="{FF2B5EF4-FFF2-40B4-BE49-F238E27FC236}">
              <a16:creationId xmlns:a16="http://schemas.microsoft.com/office/drawing/2014/main" id="{E9CF3412-93F8-40B2-A71F-5EAF96FACFA5}"/>
            </a:ext>
          </a:extLst>
        </xdr:cNvPr>
        <xdr:cNvSpPr/>
      </xdr:nvSpPr>
      <xdr:spPr bwMode="auto">
        <a:xfrm>
          <a:off x="228600" y="3257550"/>
          <a:ext cx="2857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5" name="Check Box 4" hidden="1">
          <a:extLst>
            <a:ext uri="{63B3BB69-23CF-44E3-9099-C40C66FF867C}">
              <a14:compatExt xmlns:a14="http://schemas.microsoft.com/office/drawing/2010/main" spid="_x0000_s31748"/>
            </a:ext>
            <a:ext uri="{FF2B5EF4-FFF2-40B4-BE49-F238E27FC236}">
              <a16:creationId xmlns:a16="http://schemas.microsoft.com/office/drawing/2014/main" id="{35F9AA77-01B1-4744-ABD3-FCAA11F96C64}"/>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A996D7FC-BD26-4E4C-94AB-9C19BDE6F78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autoPageBreaks="0"/>
  </sheetPr>
  <dimension ref="A1:C13"/>
  <sheetViews>
    <sheetView zoomScaleNormal="100" workbookViewId="0">
      <selection activeCell="D1" sqref="D1"/>
    </sheetView>
  </sheetViews>
  <sheetFormatPr defaultColWidth="9.140625" defaultRowHeight="12.75" x14ac:dyDescent="0.2"/>
  <cols>
    <col min="1" max="2" width="28.140625" style="1" customWidth="1"/>
    <col min="3" max="3" width="32.7109375" style="1" customWidth="1"/>
    <col min="4" max="16384" width="9.140625" style="1"/>
  </cols>
  <sheetData>
    <row r="1" spans="1:3" s="87" customFormat="1" ht="18" x14ac:dyDescent="0.25">
      <c r="A1" s="335" t="s">
        <v>0</v>
      </c>
      <c r="B1" s="335"/>
      <c r="C1" s="335"/>
    </row>
    <row r="2" spans="1:3" s="87" customFormat="1" ht="18" x14ac:dyDescent="0.25">
      <c r="A2" s="109"/>
      <c r="B2" s="109" t="s">
        <v>1</v>
      </c>
      <c r="C2" s="109"/>
    </row>
    <row r="3" spans="1:3" s="88" customFormat="1" ht="18" x14ac:dyDescent="0.25">
      <c r="A3" s="335" t="s">
        <v>2</v>
      </c>
      <c r="B3" s="335"/>
      <c r="C3" s="335"/>
    </row>
    <row r="4" spans="1:3" s="89" customFormat="1" ht="13.5" thickBot="1" x14ac:dyDescent="0.25">
      <c r="A4" s="88"/>
      <c r="B4" s="88"/>
      <c r="C4" s="88"/>
    </row>
    <row r="5" spans="1:3" s="88" customFormat="1" ht="15.75" thickBot="1" x14ac:dyDescent="0.25">
      <c r="A5" s="90" t="s">
        <v>3</v>
      </c>
      <c r="B5" s="91" t="s">
        <v>4</v>
      </c>
      <c r="C5" s="91" t="s">
        <v>5</v>
      </c>
    </row>
    <row r="6" spans="1:3" s="88" customFormat="1" ht="29.25" thickBot="1" x14ac:dyDescent="0.25">
      <c r="A6" s="29" t="s">
        <v>6</v>
      </c>
      <c r="B6" s="28" t="s">
        <v>7</v>
      </c>
      <c r="C6" s="27">
        <v>45327</v>
      </c>
    </row>
    <row r="7" spans="1:3" s="88" customFormat="1" ht="29.25" thickBot="1" x14ac:dyDescent="0.25">
      <c r="A7" s="29" t="s">
        <v>8</v>
      </c>
      <c r="B7" s="28" t="s">
        <v>9</v>
      </c>
      <c r="C7" s="27">
        <v>45509</v>
      </c>
    </row>
    <row r="9" spans="1:3" ht="17.25" customHeight="1" x14ac:dyDescent="0.2">
      <c r="A9" s="336" t="s">
        <v>10</v>
      </c>
      <c r="B9" s="336"/>
      <c r="C9" s="336"/>
    </row>
    <row r="10" spans="1:3" ht="64.5" customHeight="1" x14ac:dyDescent="0.2">
      <c r="A10" s="334" t="s">
        <v>11</v>
      </c>
      <c r="B10" s="334"/>
      <c r="C10" s="334"/>
    </row>
    <row r="11" spans="1:3" ht="45.75" customHeight="1" x14ac:dyDescent="0.2">
      <c r="A11" s="334" t="s">
        <v>12</v>
      </c>
      <c r="B11" s="334"/>
      <c r="C11" s="334"/>
    </row>
    <row r="12" spans="1:3" ht="90" customHeight="1" x14ac:dyDescent="0.2">
      <c r="A12" s="334" t="s">
        <v>13</v>
      </c>
      <c r="B12" s="334"/>
      <c r="C12" s="334"/>
    </row>
    <row r="13" spans="1:3" ht="11.25" customHeight="1" x14ac:dyDescent="0.2">
      <c r="A13" s="334"/>
      <c r="B13" s="334"/>
      <c r="C13" s="334"/>
    </row>
  </sheetData>
  <sheetProtection algorithmName="SHA-512" hashValue="pV7i5/ab15OwP1ijCBiriSK8N23mkTE4oRsbjN/EpHJ9NRqyhK8Qf4bD/7MQmgybSOyOhmjy/Sf+B6BxWLo9Ug==" saltValue="v33otz+DI7VkOcPwI4dZtg==" spinCount="100000" sheet="1" objects="1" scenarios="1"/>
  <mergeCells count="7">
    <mergeCell ref="A13:C13"/>
    <mergeCell ref="A12:C12"/>
    <mergeCell ref="A1:C1"/>
    <mergeCell ref="A3:C3"/>
    <mergeCell ref="A9:C9"/>
    <mergeCell ref="A10:C10"/>
    <mergeCell ref="A11:C11"/>
  </mergeCells>
  <printOptions horizontalCentered="1"/>
  <pageMargins left="0.7" right="0.7" top="0.75" bottom="0.75" header="0.3" footer="0.3"/>
  <pageSetup scale="86"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130"/>
  <sheetViews>
    <sheetView showGridLines="0" tabSelected="1" topLeftCell="A24" zoomScale="98" zoomScaleNormal="98" workbookViewId="0">
      <selection activeCell="N49" sqref="N49"/>
    </sheetView>
  </sheetViews>
  <sheetFormatPr defaultColWidth="8.85546875" defaultRowHeight="12.75" outlineLevelRow="1" x14ac:dyDescent="0.2"/>
  <cols>
    <col min="1" max="1" width="33.140625" style="1" customWidth="1"/>
    <col min="2" max="2" width="33.42578125" style="1" customWidth="1"/>
    <col min="3" max="3" width="30.42578125" style="1" customWidth="1"/>
    <col min="4" max="5" width="12.140625" style="1" customWidth="1"/>
    <col min="6" max="6" width="9.7109375" style="1" customWidth="1"/>
    <col min="7" max="9" width="14.85546875" style="1" customWidth="1"/>
    <col min="10" max="12" width="14.42578125" style="1" customWidth="1"/>
    <col min="13" max="13" width="13.85546875" style="8" bestFit="1" customWidth="1"/>
    <col min="14" max="14" width="17.140625" style="7" customWidth="1"/>
    <col min="15" max="16384" width="8.85546875" style="1"/>
  </cols>
  <sheetData>
    <row r="1" spans="1:14" ht="18" x14ac:dyDescent="0.25">
      <c r="A1" s="23" t="s">
        <v>14</v>
      </c>
      <c r="B1" s="115"/>
      <c r="C1" s="116"/>
      <c r="D1" s="116"/>
      <c r="E1" s="116"/>
      <c r="F1" s="116"/>
      <c r="G1" s="116"/>
      <c r="H1" s="116"/>
      <c r="I1" s="116"/>
      <c r="J1" s="116"/>
      <c r="K1" s="116"/>
      <c r="L1" s="116"/>
      <c r="M1" s="15"/>
      <c r="N1" s="14"/>
    </row>
    <row r="2" spans="1:14" ht="18" x14ac:dyDescent="0.2">
      <c r="A2" s="24" t="s">
        <v>15</v>
      </c>
      <c r="B2" s="115"/>
      <c r="C2" s="116"/>
      <c r="D2" s="116"/>
      <c r="E2" s="116"/>
      <c r="F2" s="116"/>
      <c r="G2" s="116"/>
      <c r="H2" s="116"/>
      <c r="I2" s="116"/>
      <c r="J2" s="116"/>
      <c r="K2" s="116"/>
      <c r="L2" s="116"/>
      <c r="M2" s="15"/>
      <c r="N2" s="14"/>
    </row>
    <row r="3" spans="1:14" ht="13.5" thickBot="1" x14ac:dyDescent="0.25">
      <c r="A3" s="115"/>
      <c r="B3" s="115"/>
      <c r="C3" s="116"/>
      <c r="D3" s="116"/>
      <c r="E3" s="116"/>
      <c r="F3" s="116"/>
      <c r="G3" s="116"/>
      <c r="H3" s="116"/>
      <c r="I3" s="116"/>
      <c r="J3" s="116"/>
      <c r="K3" s="116"/>
      <c r="L3" s="116"/>
      <c r="M3" s="15"/>
      <c r="N3" s="14"/>
    </row>
    <row r="4" spans="1:14" ht="15.75" thickBot="1" x14ac:dyDescent="0.3">
      <c r="A4" s="117" t="s">
        <v>16</v>
      </c>
      <c r="B4" s="118"/>
      <c r="C4" s="118"/>
      <c r="D4" s="118"/>
      <c r="E4" s="118"/>
      <c r="F4" s="118"/>
      <c r="G4" s="118"/>
      <c r="H4" s="118"/>
      <c r="I4" s="118"/>
      <c r="J4" s="118"/>
      <c r="K4" s="118"/>
      <c r="L4" s="118"/>
      <c r="M4" s="55"/>
      <c r="N4" s="119"/>
    </row>
    <row r="5" spans="1:14" s="115" customFormat="1" ht="28.5" customHeight="1" thickBot="1" x14ac:dyDescent="0.25">
      <c r="A5" s="346" t="s">
        <v>17</v>
      </c>
      <c r="B5" s="347"/>
      <c r="C5" s="347"/>
      <c r="D5" s="347"/>
      <c r="E5" s="347"/>
      <c r="F5" s="347"/>
      <c r="G5" s="347"/>
      <c r="H5" s="347"/>
      <c r="I5" s="347"/>
      <c r="J5" s="347"/>
      <c r="K5" s="347"/>
      <c r="L5" s="347"/>
      <c r="M5" s="347"/>
      <c r="N5" s="348"/>
    </row>
    <row r="6" spans="1:14" ht="16.5" customHeight="1" thickBot="1" x14ac:dyDescent="0.25">
      <c r="A6" s="349" t="s">
        <v>18</v>
      </c>
      <c r="B6" s="350"/>
      <c r="C6" s="350"/>
      <c r="D6" s="350"/>
      <c r="E6" s="350"/>
      <c r="F6" s="350"/>
      <c r="G6" s="350"/>
      <c r="H6" s="350"/>
      <c r="I6" s="350"/>
      <c r="J6" s="350"/>
      <c r="K6" s="350"/>
      <c r="L6" s="350"/>
      <c r="M6" s="350"/>
      <c r="N6" s="351"/>
    </row>
    <row r="7" spans="1:14" s="115" customFormat="1" ht="15" customHeight="1" x14ac:dyDescent="0.2">
      <c r="A7" s="120" t="s">
        <v>19</v>
      </c>
      <c r="B7" s="121"/>
      <c r="C7" s="121"/>
      <c r="N7" s="122"/>
    </row>
    <row r="8" spans="1:14" ht="15" customHeight="1" x14ac:dyDescent="0.2">
      <c r="A8" s="120" t="s">
        <v>20</v>
      </c>
      <c r="B8" s="121"/>
      <c r="C8" s="121"/>
      <c r="M8" s="1"/>
      <c r="N8" s="123"/>
    </row>
    <row r="9" spans="1:14" ht="7.5" customHeight="1" thickBot="1" x14ac:dyDescent="0.25">
      <c r="A9" s="124"/>
      <c r="B9" s="114"/>
      <c r="C9" s="114"/>
      <c r="M9" s="1"/>
      <c r="N9" s="123"/>
    </row>
    <row r="10" spans="1:14" ht="12.75" customHeight="1" thickBot="1" x14ac:dyDescent="0.25">
      <c r="A10" s="349" t="s">
        <v>21</v>
      </c>
      <c r="B10" s="350"/>
      <c r="C10" s="350"/>
      <c r="D10" s="350"/>
      <c r="E10" s="350"/>
      <c r="F10" s="350"/>
      <c r="G10" s="350"/>
      <c r="H10" s="350"/>
      <c r="I10" s="350"/>
      <c r="J10" s="350"/>
      <c r="K10" s="350"/>
      <c r="L10" s="350"/>
      <c r="M10" s="350"/>
      <c r="N10" s="351"/>
    </row>
    <row r="11" spans="1:14" x14ac:dyDescent="0.2">
      <c r="A11" s="354" t="s">
        <v>22</v>
      </c>
      <c r="B11" s="355"/>
      <c r="C11" s="355"/>
      <c r="D11" s="355"/>
      <c r="E11" s="355"/>
      <c r="F11" s="355"/>
      <c r="G11" s="355"/>
      <c r="H11" s="355"/>
      <c r="I11" s="355"/>
      <c r="J11" s="355"/>
      <c r="K11" s="355"/>
      <c r="L11" s="355"/>
      <c r="M11" s="355"/>
      <c r="N11" s="356"/>
    </row>
    <row r="12" spans="1:14" ht="13.5" thickBot="1" x14ac:dyDescent="0.25">
      <c r="A12" s="125" t="s">
        <v>23</v>
      </c>
      <c r="M12" s="1"/>
      <c r="N12" s="123"/>
    </row>
    <row r="13" spans="1:14" ht="12.75" customHeight="1" thickBot="1" x14ac:dyDescent="0.25">
      <c r="A13" s="349" t="s">
        <v>24</v>
      </c>
      <c r="B13" s="350"/>
      <c r="C13" s="350"/>
      <c r="D13" s="350"/>
      <c r="E13" s="350"/>
      <c r="F13" s="350"/>
      <c r="G13" s="350"/>
      <c r="H13" s="350"/>
      <c r="I13" s="350"/>
      <c r="J13" s="350"/>
      <c r="K13" s="350"/>
      <c r="L13" s="350"/>
      <c r="M13" s="350"/>
      <c r="N13" s="351"/>
    </row>
    <row r="14" spans="1:14" s="115" customFormat="1" ht="47.25" customHeight="1" x14ac:dyDescent="0.2">
      <c r="A14" s="352" t="s">
        <v>25</v>
      </c>
      <c r="B14" s="334"/>
      <c r="C14" s="334"/>
      <c r="D14" s="334"/>
      <c r="E14" s="334"/>
      <c r="F14" s="334"/>
      <c r="G14" s="334"/>
      <c r="H14" s="334"/>
      <c r="I14" s="334"/>
      <c r="J14" s="334"/>
      <c r="K14" s="334"/>
      <c r="L14" s="334"/>
      <c r="M14" s="334"/>
      <c r="N14" s="353"/>
    </row>
    <row r="15" spans="1:14" ht="87.75" customHeight="1" thickBot="1" x14ac:dyDescent="0.25">
      <c r="A15" s="337" t="s">
        <v>26</v>
      </c>
      <c r="B15" s="338"/>
      <c r="C15" s="338"/>
      <c r="D15" s="338"/>
      <c r="E15" s="338"/>
      <c r="F15" s="338"/>
      <c r="G15" s="338"/>
      <c r="H15" s="338"/>
      <c r="I15" s="338"/>
      <c r="J15" s="338"/>
      <c r="K15" s="338"/>
      <c r="L15" s="338"/>
      <c r="M15" s="338"/>
      <c r="N15" s="339"/>
    </row>
    <row r="16" spans="1:14" ht="13.5" thickBot="1" x14ac:dyDescent="0.25">
      <c r="A16" s="115"/>
      <c r="B16" s="115"/>
      <c r="C16" s="116"/>
      <c r="D16" s="116"/>
      <c r="E16" s="116"/>
      <c r="F16" s="116"/>
      <c r="G16" s="116"/>
      <c r="H16" s="116"/>
      <c r="I16" s="116"/>
      <c r="J16" s="116"/>
      <c r="K16" s="116"/>
      <c r="L16" s="116"/>
      <c r="M16" s="15"/>
      <c r="N16" s="14"/>
    </row>
    <row r="17" spans="1:14" ht="15.75" thickBot="1" x14ac:dyDescent="0.3">
      <c r="A17" s="117" t="s">
        <v>27</v>
      </c>
      <c r="B17" s="118"/>
      <c r="C17" s="118"/>
      <c r="D17" s="118"/>
      <c r="E17" s="118"/>
      <c r="F17" s="118"/>
      <c r="G17" s="118"/>
      <c r="H17" s="118"/>
      <c r="I17" s="118"/>
      <c r="J17" s="118"/>
      <c r="K17" s="118"/>
      <c r="L17" s="118"/>
      <c r="M17" s="55"/>
      <c r="N17" s="119"/>
    </row>
    <row r="18" spans="1:14" ht="33.75" x14ac:dyDescent="0.2">
      <c r="A18" s="126"/>
      <c r="B18" s="127"/>
      <c r="C18" s="127"/>
      <c r="D18" s="127"/>
      <c r="E18" s="127"/>
      <c r="F18" s="127"/>
      <c r="G18" s="128" t="s">
        <v>28</v>
      </c>
      <c r="H18" s="128" t="s">
        <v>29</v>
      </c>
      <c r="I18" s="128" t="s">
        <v>30</v>
      </c>
      <c r="J18" s="128" t="s">
        <v>31</v>
      </c>
      <c r="K18" s="128" t="s">
        <v>32</v>
      </c>
      <c r="L18" s="128" t="s">
        <v>33</v>
      </c>
      <c r="M18" s="58" t="s">
        <v>34</v>
      </c>
      <c r="N18" s="59" t="s">
        <v>35</v>
      </c>
    </row>
    <row r="19" spans="1:14" x14ac:dyDescent="0.2">
      <c r="A19" s="129" t="s">
        <v>36</v>
      </c>
      <c r="B19" s="130" t="s">
        <v>37</v>
      </c>
      <c r="C19" s="130"/>
      <c r="D19" s="131" t="str">
        <f>A45</f>
        <v>1A.  Staff Salaries</v>
      </c>
      <c r="G19" s="64">
        <f t="shared" ref="G19:K19" si="0">G61</f>
        <v>594326</v>
      </c>
      <c r="H19" s="64">
        <f t="shared" si="0"/>
        <v>225032</v>
      </c>
      <c r="I19" s="64">
        <f t="shared" si="0"/>
        <v>369294</v>
      </c>
      <c r="J19" s="64">
        <f t="shared" si="0"/>
        <v>124101.81999999999</v>
      </c>
      <c r="K19" s="64">
        <f t="shared" si="0"/>
        <v>100930.18</v>
      </c>
      <c r="L19" s="64">
        <f>L61</f>
        <v>225032</v>
      </c>
      <c r="M19" s="12">
        <f t="shared" ref="M19:M26" si="1">IFERROR(L19/H19,"N/A")</f>
        <v>1</v>
      </c>
      <c r="N19" s="66">
        <f>N61</f>
        <v>563863</v>
      </c>
    </row>
    <row r="20" spans="1:14" x14ac:dyDescent="0.2">
      <c r="A20" s="129" t="s">
        <v>38</v>
      </c>
      <c r="B20" s="132" t="s">
        <v>39</v>
      </c>
      <c r="C20" s="132"/>
      <c r="D20" s="131" t="str">
        <f>A63</f>
        <v>1B.  Staff Fringe Benefits</v>
      </c>
      <c r="G20" s="64">
        <f t="shared" ref="G20:I20" si="2">G72</f>
        <v>86931</v>
      </c>
      <c r="H20" s="64">
        <f t="shared" si="2"/>
        <v>40770</v>
      </c>
      <c r="I20" s="64">
        <f t="shared" si="2"/>
        <v>47752</v>
      </c>
      <c r="J20" s="64">
        <f>J72</f>
        <v>21247.15</v>
      </c>
      <c r="K20" s="64">
        <f>K72</f>
        <v>19522.849999999999</v>
      </c>
      <c r="L20" s="64">
        <f>L72</f>
        <v>40770</v>
      </c>
      <c r="M20" s="12">
        <f t="shared" si="1"/>
        <v>1</v>
      </c>
      <c r="N20" s="66">
        <f>N72</f>
        <v>92572</v>
      </c>
    </row>
    <row r="21" spans="1:14" x14ac:dyDescent="0.2">
      <c r="A21" s="125"/>
      <c r="D21" s="131" t="str">
        <f>A74</f>
        <v>2.  Consultant Services</v>
      </c>
      <c r="G21" s="64">
        <f t="shared" ref="G21:I21" si="3">G81</f>
        <v>10122</v>
      </c>
      <c r="H21" s="64">
        <f t="shared" si="3"/>
        <v>34347</v>
      </c>
      <c r="I21" s="64">
        <f t="shared" si="3"/>
        <v>-24225</v>
      </c>
      <c r="J21" s="64">
        <f>J81</f>
        <v>3651</v>
      </c>
      <c r="K21" s="64">
        <f>K81</f>
        <v>30696</v>
      </c>
      <c r="L21" s="64">
        <f>L81</f>
        <v>34347</v>
      </c>
      <c r="M21" s="12">
        <f t="shared" si="1"/>
        <v>1</v>
      </c>
      <c r="N21" s="66">
        <f>N81</f>
        <v>57253</v>
      </c>
    </row>
    <row r="22" spans="1:14" x14ac:dyDescent="0.2">
      <c r="A22" s="125"/>
      <c r="D22" s="131" t="str">
        <f>A83</f>
        <v>3.  Operating Expenses</v>
      </c>
      <c r="G22" s="64">
        <f t="shared" ref="G22:L22" si="4">G101</f>
        <v>60196</v>
      </c>
      <c r="H22" s="64">
        <f t="shared" si="4"/>
        <v>83113</v>
      </c>
      <c r="I22" s="64">
        <f t="shared" si="4"/>
        <v>-22917</v>
      </c>
      <c r="J22" s="64">
        <f t="shared" si="4"/>
        <v>17247</v>
      </c>
      <c r="K22" s="64">
        <f t="shared" si="4"/>
        <v>65866</v>
      </c>
      <c r="L22" s="64">
        <f t="shared" si="4"/>
        <v>83113</v>
      </c>
      <c r="M22" s="12">
        <f t="shared" si="1"/>
        <v>1</v>
      </c>
      <c r="N22" s="66">
        <f>N101</f>
        <v>140727</v>
      </c>
    </row>
    <row r="23" spans="1:14" x14ac:dyDescent="0.2">
      <c r="A23" s="133" t="s">
        <v>40</v>
      </c>
      <c r="B23" s="134" t="s">
        <v>54</v>
      </c>
      <c r="D23" s="131" t="str">
        <f>A103</f>
        <v>4.  Direct Client Support</v>
      </c>
      <c r="G23" s="64">
        <f>G108</f>
        <v>136000</v>
      </c>
      <c r="H23" s="64">
        <f t="shared" ref="H23:N23" si="5">H108</f>
        <v>127600</v>
      </c>
      <c r="I23" s="64">
        <f t="shared" si="5"/>
        <v>8400</v>
      </c>
      <c r="J23" s="64">
        <f t="shared" si="5"/>
        <v>50400</v>
      </c>
      <c r="K23" s="64">
        <f t="shared" si="5"/>
        <v>77200</v>
      </c>
      <c r="L23" s="64">
        <f t="shared" si="5"/>
        <v>127600</v>
      </c>
      <c r="M23" s="12">
        <f t="shared" si="1"/>
        <v>1</v>
      </c>
      <c r="N23" s="66">
        <f t="shared" si="5"/>
        <v>118880</v>
      </c>
    </row>
    <row r="24" spans="1:14" x14ac:dyDescent="0.2">
      <c r="A24" s="125"/>
      <c r="D24" s="131" t="str">
        <f>A110</f>
        <v>5.  Other</v>
      </c>
      <c r="G24" s="64">
        <f>G116</f>
        <v>0</v>
      </c>
      <c r="H24" s="64">
        <f t="shared" ref="H24:N24" si="6">H116</f>
        <v>0</v>
      </c>
      <c r="I24" s="64">
        <f t="shared" si="6"/>
        <v>0</v>
      </c>
      <c r="J24" s="64">
        <f t="shared" si="6"/>
        <v>0</v>
      </c>
      <c r="K24" s="64">
        <f t="shared" si="6"/>
        <v>0</v>
      </c>
      <c r="L24" s="64">
        <f t="shared" si="6"/>
        <v>0</v>
      </c>
      <c r="M24" s="12" t="str">
        <f t="shared" si="1"/>
        <v>N/A</v>
      </c>
      <c r="N24" s="66">
        <f t="shared" si="6"/>
        <v>0</v>
      </c>
    </row>
    <row r="25" spans="1:14" x14ac:dyDescent="0.2">
      <c r="A25" s="125"/>
      <c r="D25" s="131" t="str">
        <f>A118</f>
        <v>6.  Indirect Administrative Costs</v>
      </c>
      <c r="G25" s="64">
        <f>G125</f>
        <v>84376</v>
      </c>
      <c r="H25" s="64">
        <f t="shared" ref="H25:L25" si="7">H125</f>
        <v>49809</v>
      </c>
      <c r="I25" s="64">
        <f t="shared" si="7"/>
        <v>34567</v>
      </c>
      <c r="J25" s="64">
        <f t="shared" si="7"/>
        <v>24905</v>
      </c>
      <c r="K25" s="64">
        <f t="shared" si="7"/>
        <v>24904</v>
      </c>
      <c r="L25" s="64">
        <f t="shared" si="7"/>
        <v>49809</v>
      </c>
      <c r="M25" s="12">
        <f t="shared" si="1"/>
        <v>1</v>
      </c>
      <c r="N25" s="66">
        <f>N125</f>
        <v>92247</v>
      </c>
    </row>
    <row r="26" spans="1:14" x14ac:dyDescent="0.2">
      <c r="A26" s="125" t="s">
        <v>42</v>
      </c>
      <c r="B26" s="135">
        <f>560671</f>
        <v>560671</v>
      </c>
      <c r="D26" s="136" t="str">
        <f>C127</f>
        <v>7.   TOTAL BUDGET</v>
      </c>
      <c r="E26" s="115"/>
      <c r="F26" s="115"/>
      <c r="G26" s="65">
        <f>G127</f>
        <v>971951</v>
      </c>
      <c r="H26" s="65">
        <f t="shared" ref="H26:L26" si="8">H127</f>
        <v>560671</v>
      </c>
      <c r="I26" s="65">
        <f t="shared" si="8"/>
        <v>412871</v>
      </c>
      <c r="J26" s="65">
        <f t="shared" si="8"/>
        <v>241551.96999999997</v>
      </c>
      <c r="K26" s="65">
        <f t="shared" si="8"/>
        <v>319119.03000000003</v>
      </c>
      <c r="L26" s="65">
        <f t="shared" si="8"/>
        <v>560671</v>
      </c>
      <c r="M26" s="13">
        <f t="shared" si="1"/>
        <v>1</v>
      </c>
      <c r="N26" s="67">
        <f>N127</f>
        <v>1065542</v>
      </c>
    </row>
    <row r="27" spans="1:14" x14ac:dyDescent="0.2">
      <c r="A27" s="125" t="s">
        <v>43</v>
      </c>
      <c r="B27" s="76">
        <f>L26</f>
        <v>560671</v>
      </c>
      <c r="M27" s="1"/>
      <c r="N27" s="123"/>
    </row>
    <row r="28" spans="1:14" x14ac:dyDescent="0.2">
      <c r="A28" s="125" t="s">
        <v>44</v>
      </c>
      <c r="B28" s="76">
        <f>B26-B27</f>
        <v>0</v>
      </c>
      <c r="M28" s="1"/>
      <c r="N28" s="123"/>
    </row>
    <row r="29" spans="1:14" x14ac:dyDescent="0.2">
      <c r="A29" s="125"/>
      <c r="M29" s="1"/>
      <c r="N29" s="123"/>
    </row>
    <row r="30" spans="1:14" ht="15" customHeight="1" thickBot="1" x14ac:dyDescent="0.25">
      <c r="A30" s="137"/>
      <c r="B30" s="138"/>
      <c r="C30" s="138"/>
      <c r="D30" s="138"/>
      <c r="E30" s="138"/>
      <c r="F30" s="138"/>
      <c r="G30" s="138"/>
      <c r="H30" s="138"/>
      <c r="I30" s="138"/>
      <c r="J30" s="138"/>
      <c r="K30" s="138"/>
      <c r="L30" s="138"/>
      <c r="M30" s="9"/>
      <c r="N30" s="62"/>
    </row>
    <row r="31" spans="1:14" ht="15" x14ac:dyDescent="0.25">
      <c r="A31" s="139" t="s">
        <v>45</v>
      </c>
      <c r="B31" s="140"/>
      <c r="C31" s="140"/>
      <c r="D31" s="140"/>
      <c r="E31" s="140"/>
      <c r="F31" s="140"/>
      <c r="G31" s="140"/>
      <c r="H31" s="140"/>
      <c r="I31" s="140"/>
      <c r="J31" s="140"/>
      <c r="K31" s="140"/>
      <c r="L31" s="140"/>
      <c r="M31" s="140"/>
      <c r="N31" s="141"/>
    </row>
    <row r="32" spans="1:14" ht="14.25" x14ac:dyDescent="0.2">
      <c r="A32" s="142" t="s">
        <v>46</v>
      </c>
      <c r="B32" s="143"/>
      <c r="C32" s="143"/>
      <c r="D32" s="143"/>
      <c r="E32" s="143"/>
      <c r="F32" s="143"/>
      <c r="G32" s="143"/>
      <c r="H32" s="143"/>
      <c r="I32" s="143"/>
      <c r="J32" s="143"/>
      <c r="K32" s="143"/>
      <c r="L32" s="143"/>
      <c r="M32" s="143"/>
      <c r="N32" s="144"/>
    </row>
    <row r="33" spans="1:14" ht="15" thickBot="1" x14ac:dyDescent="0.25">
      <c r="A33" s="145" t="s">
        <v>47</v>
      </c>
      <c r="B33" s="146"/>
      <c r="C33" s="146"/>
      <c r="D33" s="146"/>
      <c r="E33" s="146"/>
      <c r="F33" s="146"/>
      <c r="G33" s="146"/>
      <c r="H33" s="146"/>
      <c r="I33" s="146"/>
      <c r="J33" s="146"/>
      <c r="K33" s="146"/>
      <c r="L33" s="146"/>
      <c r="M33" s="146"/>
      <c r="N33" s="147"/>
    </row>
    <row r="34" spans="1:14" x14ac:dyDescent="0.2">
      <c r="A34" s="125"/>
      <c r="M34" s="10"/>
      <c r="N34" s="92"/>
    </row>
    <row r="35" spans="1:14" x14ac:dyDescent="0.2">
      <c r="A35" s="148" t="s">
        <v>48</v>
      </c>
      <c r="D35" s="115" t="s">
        <v>49</v>
      </c>
      <c r="F35" s="31"/>
      <c r="G35" s="149">
        <v>45323</v>
      </c>
      <c r="M35" s="10"/>
      <c r="N35" s="92"/>
    </row>
    <row r="36" spans="1:14" x14ac:dyDescent="0.2">
      <c r="A36" s="148" t="s">
        <v>50</v>
      </c>
      <c r="D36" s="115" t="s">
        <v>49</v>
      </c>
      <c r="F36" s="31"/>
      <c r="G36" s="149">
        <v>45525</v>
      </c>
      <c r="M36" s="10"/>
      <c r="N36" s="92"/>
    </row>
    <row r="37" spans="1:14" ht="13.5" thickBot="1" x14ac:dyDescent="0.25">
      <c r="A37" s="150"/>
      <c r="B37" s="138"/>
      <c r="C37" s="138"/>
      <c r="D37" s="138"/>
      <c r="E37" s="138"/>
      <c r="F37" s="151"/>
      <c r="G37" s="138"/>
      <c r="H37" s="138"/>
      <c r="I37" s="138"/>
      <c r="J37" s="138"/>
      <c r="K37" s="138"/>
      <c r="L37" s="138"/>
      <c r="M37" s="9"/>
      <c r="N37" s="62"/>
    </row>
    <row r="38" spans="1:14" ht="13.5" thickBot="1" x14ac:dyDescent="0.25">
      <c r="A38" s="150"/>
      <c r="B38" s="152"/>
      <c r="C38" s="138"/>
      <c r="D38" s="152"/>
      <c r="E38" s="152"/>
      <c r="F38" s="152"/>
      <c r="G38" s="138"/>
      <c r="H38" s="138"/>
      <c r="I38" s="138"/>
      <c r="J38" s="138"/>
      <c r="K38" s="138"/>
      <c r="L38" s="138"/>
      <c r="M38" s="138"/>
      <c r="N38" s="153"/>
    </row>
    <row r="39" spans="1:14" hidden="1" x14ac:dyDescent="0.2">
      <c r="A39" s="115"/>
      <c r="D39" s="115"/>
      <c r="E39" s="115"/>
      <c r="F39" s="115"/>
      <c r="G39" s="30"/>
      <c r="H39" s="30"/>
      <c r="I39" s="30"/>
      <c r="J39" s="30"/>
      <c r="K39" s="30"/>
      <c r="L39" s="30"/>
      <c r="M39" s="26"/>
      <c r="N39" s="30"/>
    </row>
    <row r="40" spans="1:14" hidden="1" x14ac:dyDescent="0.2">
      <c r="A40" s="126" t="s">
        <v>41</v>
      </c>
      <c r="B40" s="127"/>
      <c r="C40" s="127" t="s">
        <v>51</v>
      </c>
      <c r="D40" s="154"/>
      <c r="E40" s="154"/>
      <c r="F40" s="155"/>
      <c r="G40" s="155"/>
      <c r="H40" s="155"/>
      <c r="I40" s="95"/>
      <c r="J40" s="95"/>
      <c r="K40" s="94"/>
      <c r="L40" s="95"/>
      <c r="M40" s="95"/>
      <c r="N40" s="60"/>
    </row>
    <row r="41" spans="1:14" hidden="1" x14ac:dyDescent="0.2">
      <c r="A41" s="125" t="s">
        <v>52</v>
      </c>
      <c r="C41" s="1" t="s">
        <v>53</v>
      </c>
      <c r="D41" s="115"/>
      <c r="E41" s="115"/>
      <c r="H41" s="156"/>
      <c r="J41" s="30"/>
      <c r="K41" s="30"/>
      <c r="L41" s="30"/>
      <c r="M41" s="26"/>
      <c r="N41" s="61"/>
    </row>
    <row r="42" spans="1:14" ht="13.5" hidden="1" thickBot="1" x14ac:dyDescent="0.25">
      <c r="A42" s="137" t="s">
        <v>54</v>
      </c>
      <c r="B42" s="138"/>
      <c r="C42" s="138" t="s">
        <v>55</v>
      </c>
      <c r="D42" s="138"/>
      <c r="E42" s="138"/>
      <c r="F42" s="138"/>
      <c r="G42" s="138"/>
      <c r="H42" s="157"/>
      <c r="I42" s="138"/>
      <c r="J42" s="138"/>
      <c r="K42" s="138"/>
      <c r="L42" s="138"/>
      <c r="M42" s="9"/>
      <c r="N42" s="62"/>
    </row>
    <row r="43" spans="1:14" ht="15.75" thickBot="1" x14ac:dyDescent="0.3">
      <c r="A43" s="158" t="s">
        <v>56</v>
      </c>
      <c r="B43" s="146"/>
      <c r="C43" s="146"/>
      <c r="D43" s="146"/>
      <c r="E43" s="146"/>
      <c r="F43" s="146"/>
      <c r="G43" s="146"/>
      <c r="H43" s="146"/>
      <c r="I43" s="146"/>
      <c r="J43" s="146"/>
      <c r="K43" s="146"/>
      <c r="L43" s="146"/>
      <c r="M43" s="96"/>
      <c r="N43" s="147"/>
    </row>
    <row r="44" spans="1:14" ht="13.5" thickBot="1" x14ac:dyDescent="0.25"/>
    <row r="45" spans="1:14" x14ac:dyDescent="0.2">
      <c r="A45" s="159" t="s">
        <v>57</v>
      </c>
      <c r="B45" s="160"/>
      <c r="C45" s="160"/>
      <c r="D45" s="160"/>
      <c r="E45" s="160"/>
      <c r="F45" s="161"/>
      <c r="G45" s="162"/>
      <c r="H45" s="162"/>
      <c r="I45" s="162"/>
      <c r="J45" s="162"/>
      <c r="K45" s="162"/>
      <c r="L45" s="162"/>
      <c r="M45" s="4"/>
      <c r="N45" s="3"/>
    </row>
    <row r="46" spans="1:14" s="167" customFormat="1" ht="11.25" x14ac:dyDescent="0.2">
      <c r="A46" s="163" t="s">
        <v>58</v>
      </c>
      <c r="B46" s="164"/>
      <c r="C46" s="164"/>
      <c r="D46" s="164"/>
      <c r="E46" s="164"/>
      <c r="F46" s="165"/>
      <c r="G46" s="166"/>
      <c r="H46" s="166"/>
      <c r="I46" s="166"/>
      <c r="J46" s="166"/>
      <c r="K46" s="166"/>
      <c r="L46" s="166"/>
      <c r="M46" s="6"/>
      <c r="N46" s="5"/>
    </row>
    <row r="47" spans="1:14" s="167" customFormat="1" ht="33.75" x14ac:dyDescent="0.2">
      <c r="A47" s="168" t="s">
        <v>59</v>
      </c>
      <c r="B47" s="169" t="s">
        <v>60</v>
      </c>
      <c r="C47" s="170" t="s">
        <v>61</v>
      </c>
      <c r="D47" s="170" t="s">
        <v>62</v>
      </c>
      <c r="E47" s="170" t="s">
        <v>63</v>
      </c>
      <c r="G47" s="170" t="str">
        <f>G$18</f>
        <v>TOTAL
PROGRAM
BUDGET</v>
      </c>
      <c r="H47" s="170" t="str">
        <f t="shared" ref="H47:N47" si="9">H$18</f>
        <v>HSGP GRANT
BUDGET</v>
      </c>
      <c r="I47" s="170" t="str">
        <f t="shared" si="9"/>
        <v>NON-CITY PROGRAM BUDGET</v>
      </c>
      <c r="J47" s="170" t="str">
        <f t="shared" si="9"/>
        <v>HSGP
MID-YEAR EXPEND.</v>
      </c>
      <c r="K47" s="170" t="str">
        <f t="shared" si="9"/>
        <v>HSGP
YEAR-END EXPEND.</v>
      </c>
      <c r="L47" s="170" t="str">
        <f t="shared" si="9"/>
        <v>HSGP TOTAL EXPEND.</v>
      </c>
      <c r="M47" s="18" t="str">
        <f t="shared" si="9"/>
        <v>HSGP PERCENT EXPENDED</v>
      </c>
      <c r="N47" s="93" t="str">
        <f t="shared" si="9"/>
        <v>YEAR-END
 TOTAL PROGRAM EXPEND.</v>
      </c>
    </row>
    <row r="48" spans="1:14" hidden="1" x14ac:dyDescent="0.2">
      <c r="A48" s="171" t="s">
        <v>64</v>
      </c>
      <c r="B48" s="172" t="s">
        <v>65</v>
      </c>
      <c r="C48" s="173" t="s">
        <v>51</v>
      </c>
      <c r="D48" s="174">
        <v>1</v>
      </c>
      <c r="E48" s="175">
        <v>1</v>
      </c>
      <c r="G48" s="176">
        <v>135000</v>
      </c>
      <c r="H48" s="177">
        <v>50407</v>
      </c>
      <c r="I48" s="64">
        <f>G48-H48</f>
        <v>84593</v>
      </c>
      <c r="J48" s="178">
        <v>25773</v>
      </c>
      <c r="K48" s="178">
        <f>50407-J48</f>
        <v>24634</v>
      </c>
      <c r="L48" s="179">
        <f t="shared" ref="L48:L55" si="10">SUM(J48:K48)</f>
        <v>50407</v>
      </c>
      <c r="M48" s="12">
        <f t="shared" ref="M48:M61" si="11">IFERROR(L48/H48,"N/A")</f>
        <v>1</v>
      </c>
      <c r="N48" s="180">
        <v>135615</v>
      </c>
    </row>
    <row r="49" spans="1:14" x14ac:dyDescent="0.2">
      <c r="A49" s="171"/>
      <c r="B49" s="172"/>
      <c r="C49" s="173" t="s">
        <v>51</v>
      </c>
      <c r="D49" s="174">
        <v>1</v>
      </c>
      <c r="E49" s="175"/>
      <c r="G49" s="176">
        <v>135000</v>
      </c>
      <c r="H49" s="177">
        <v>50407</v>
      </c>
      <c r="I49" s="64">
        <f>G49-H49</f>
        <v>84593</v>
      </c>
      <c r="J49" s="178">
        <v>25773</v>
      </c>
      <c r="K49" s="178">
        <f>50407-J49</f>
        <v>24634</v>
      </c>
      <c r="L49" s="179">
        <f t="shared" ref="L49" si="12">SUM(J49:K49)</f>
        <v>50407</v>
      </c>
      <c r="M49" s="12">
        <f t="shared" ref="M49" si="13">IFERROR(L49/H49,"N/A")</f>
        <v>1</v>
      </c>
      <c r="N49" s="180">
        <v>135615</v>
      </c>
    </row>
    <row r="50" spans="1:14" hidden="1" outlineLevel="1" x14ac:dyDescent="0.2">
      <c r="A50" s="171" t="s">
        <v>66</v>
      </c>
      <c r="B50" s="172" t="s">
        <v>67</v>
      </c>
      <c r="C50" s="173" t="s">
        <v>55</v>
      </c>
      <c r="D50" s="174">
        <v>1</v>
      </c>
      <c r="E50" s="175">
        <v>1</v>
      </c>
      <c r="G50" s="181">
        <v>27729</v>
      </c>
      <c r="H50" s="182">
        <v>27729</v>
      </c>
      <c r="I50" s="68">
        <f t="shared" ref="I50:I52" si="14">G50-H50</f>
        <v>0</v>
      </c>
      <c r="J50" s="178">
        <f>22805+1306.33</f>
        <v>24111.33</v>
      </c>
      <c r="K50" s="178">
        <f>27729-J50</f>
        <v>3617.6699999999983</v>
      </c>
      <c r="L50" s="179">
        <f t="shared" ref="L50:L52" si="15">SUM(J50:K50)</f>
        <v>27729</v>
      </c>
      <c r="M50" s="12">
        <f t="shared" ref="M50:M52" si="16">IFERROR(L50/H50,"N/A")</f>
        <v>1</v>
      </c>
      <c r="N50" s="180">
        <v>55443</v>
      </c>
    </row>
    <row r="51" spans="1:14" hidden="1" outlineLevel="1" x14ac:dyDescent="0.2">
      <c r="A51" s="171" t="s">
        <v>68</v>
      </c>
      <c r="B51" s="172" t="s">
        <v>69</v>
      </c>
      <c r="C51" s="173" t="s">
        <v>55</v>
      </c>
      <c r="D51" s="174">
        <v>1</v>
      </c>
      <c r="E51" s="175">
        <v>1</v>
      </c>
      <c r="G51" s="181">
        <v>75000</v>
      </c>
      <c r="H51" s="182">
        <v>18809</v>
      </c>
      <c r="I51" s="68">
        <f t="shared" si="14"/>
        <v>56191</v>
      </c>
      <c r="J51" s="178">
        <f>14333+1000</f>
        <v>15333</v>
      </c>
      <c r="K51" s="178">
        <f>18809-J51</f>
        <v>3476</v>
      </c>
      <c r="L51" s="179">
        <f t="shared" si="15"/>
        <v>18809</v>
      </c>
      <c r="M51" s="12">
        <f t="shared" si="16"/>
        <v>1</v>
      </c>
      <c r="N51" s="180">
        <v>44689</v>
      </c>
    </row>
    <row r="52" spans="1:14" hidden="1" outlineLevel="1" x14ac:dyDescent="0.2">
      <c r="A52" s="171" t="s">
        <v>70</v>
      </c>
      <c r="B52" s="172" t="s">
        <v>69</v>
      </c>
      <c r="C52" s="173" t="s">
        <v>55</v>
      </c>
      <c r="D52" s="174">
        <v>1</v>
      </c>
      <c r="E52" s="175">
        <v>1</v>
      </c>
      <c r="G52" s="181">
        <v>25746</v>
      </c>
      <c r="H52" s="182">
        <v>25746</v>
      </c>
      <c r="I52" s="68">
        <f t="shared" si="14"/>
        <v>0</v>
      </c>
      <c r="J52" s="178">
        <f>11993+1520.22+1000</f>
        <v>14513.22</v>
      </c>
      <c r="K52" s="178">
        <f>25746-J52</f>
        <v>11232.78</v>
      </c>
      <c r="L52" s="179">
        <f t="shared" si="15"/>
        <v>25746</v>
      </c>
      <c r="M52" s="12">
        <f t="shared" si="16"/>
        <v>1</v>
      </c>
      <c r="N52" s="180">
        <v>63988</v>
      </c>
    </row>
    <row r="53" spans="1:14" hidden="1" outlineLevel="1" x14ac:dyDescent="0.2">
      <c r="A53" s="171" t="s">
        <v>71</v>
      </c>
      <c r="B53" s="172" t="s">
        <v>69</v>
      </c>
      <c r="C53" s="173" t="s">
        <v>55</v>
      </c>
      <c r="D53" s="174">
        <v>1</v>
      </c>
      <c r="E53" s="175">
        <v>1</v>
      </c>
      <c r="G53" s="181">
        <v>75000</v>
      </c>
      <c r="H53" s="182">
        <v>29147</v>
      </c>
      <c r="I53" s="68">
        <f t="shared" ref="I53:I55" si="17">G53-H53</f>
        <v>45853</v>
      </c>
      <c r="J53" s="178">
        <f>13848+2235.87+1000</f>
        <v>17083.87</v>
      </c>
      <c r="K53" s="178">
        <f>29147-J53</f>
        <v>12063.130000000001</v>
      </c>
      <c r="L53" s="179">
        <f t="shared" si="10"/>
        <v>29147</v>
      </c>
      <c r="M53" s="12">
        <f t="shared" si="11"/>
        <v>1</v>
      </c>
      <c r="N53" s="180">
        <v>72391</v>
      </c>
    </row>
    <row r="54" spans="1:14" hidden="1" outlineLevel="1" x14ac:dyDescent="0.2">
      <c r="A54" s="171" t="s">
        <v>72</v>
      </c>
      <c r="B54" s="172" t="s">
        <v>69</v>
      </c>
      <c r="C54" s="173" t="s">
        <v>55</v>
      </c>
      <c r="D54" s="174">
        <v>1</v>
      </c>
      <c r="E54" s="175">
        <v>1</v>
      </c>
      <c r="G54" s="181">
        <v>70000</v>
      </c>
      <c r="H54" s="182">
        <v>26058</v>
      </c>
      <c r="I54" s="68">
        <f t="shared" si="17"/>
        <v>43942</v>
      </c>
      <c r="J54" s="178">
        <f>11653+1063.79+1000</f>
        <v>13716.79</v>
      </c>
      <c r="K54" s="178">
        <f>26058-J54</f>
        <v>12341.21</v>
      </c>
      <c r="L54" s="179">
        <f t="shared" si="10"/>
        <v>26058</v>
      </c>
      <c r="M54" s="12">
        <f t="shared" si="11"/>
        <v>1</v>
      </c>
      <c r="N54" s="180">
        <v>66298</v>
      </c>
    </row>
    <row r="55" spans="1:14" hidden="1" outlineLevel="1" x14ac:dyDescent="0.2">
      <c r="A55" s="171" t="s">
        <v>73</v>
      </c>
      <c r="B55" s="172" t="s">
        <v>69</v>
      </c>
      <c r="C55" s="173" t="s">
        <v>55</v>
      </c>
      <c r="D55" s="174">
        <v>1</v>
      </c>
      <c r="E55" s="175">
        <v>1</v>
      </c>
      <c r="G55" s="181">
        <v>24131</v>
      </c>
      <c r="H55" s="182">
        <v>24131</v>
      </c>
      <c r="I55" s="68">
        <f t="shared" si="17"/>
        <v>0</v>
      </c>
      <c r="J55" s="178">
        <f>11099+1471.61+1000</f>
        <v>13570.61</v>
      </c>
      <c r="K55" s="178">
        <f>24131-J55</f>
        <v>10560.39</v>
      </c>
      <c r="L55" s="179">
        <f t="shared" si="10"/>
        <v>24131</v>
      </c>
      <c r="M55" s="12">
        <f t="shared" si="11"/>
        <v>1</v>
      </c>
      <c r="N55" s="180">
        <v>65678</v>
      </c>
    </row>
    <row r="56" spans="1:14" hidden="1" outlineLevel="1" x14ac:dyDescent="0.2">
      <c r="A56" s="171" t="s">
        <v>74</v>
      </c>
      <c r="B56" s="172" t="s">
        <v>69</v>
      </c>
      <c r="C56" s="173" t="s">
        <v>55</v>
      </c>
      <c r="D56" s="174">
        <v>1</v>
      </c>
      <c r="E56" s="175">
        <v>1</v>
      </c>
      <c r="G56" s="99">
        <v>66560</v>
      </c>
      <c r="H56" s="99">
        <v>10624</v>
      </c>
      <c r="I56" s="68">
        <f t="shared" ref="I56:I57" si="18">G56-H56</f>
        <v>55936</v>
      </c>
      <c r="J56" s="178">
        <v>0</v>
      </c>
      <c r="K56" s="178">
        <v>10624</v>
      </c>
      <c r="L56" s="179">
        <f t="shared" ref="L56:L57" si="19">SUM(J56:K56)</f>
        <v>10624</v>
      </c>
      <c r="M56" s="12">
        <f t="shared" ref="M56:M57" si="20">IFERROR(L56/H56,"N/A")</f>
        <v>1</v>
      </c>
      <c r="N56" s="180">
        <v>11520</v>
      </c>
    </row>
    <row r="57" spans="1:14" hidden="1" outlineLevel="1" x14ac:dyDescent="0.2">
      <c r="A57" s="171" t="s">
        <v>75</v>
      </c>
      <c r="B57" s="172" t="s">
        <v>69</v>
      </c>
      <c r="C57" s="173" t="s">
        <v>55</v>
      </c>
      <c r="D57" s="174">
        <v>1</v>
      </c>
      <c r="E57" s="175">
        <v>0.5</v>
      </c>
      <c r="G57" s="99">
        <v>28600</v>
      </c>
      <c r="H57" s="99">
        <v>3741</v>
      </c>
      <c r="I57" s="68">
        <f t="shared" si="18"/>
        <v>24859</v>
      </c>
      <c r="J57" s="178">
        <v>0</v>
      </c>
      <c r="K57" s="178">
        <v>3741</v>
      </c>
      <c r="L57" s="179">
        <f t="shared" si="19"/>
        <v>3741</v>
      </c>
      <c r="M57" s="12">
        <f t="shared" si="20"/>
        <v>1</v>
      </c>
      <c r="N57" s="180">
        <v>23241</v>
      </c>
    </row>
    <row r="58" spans="1:14" hidden="1" outlineLevel="1" x14ac:dyDescent="0.2">
      <c r="A58" s="171" t="s">
        <v>76</v>
      </c>
      <c r="B58" s="172" t="s">
        <v>77</v>
      </c>
      <c r="C58" s="173" t="s">
        <v>55</v>
      </c>
      <c r="D58" s="174">
        <v>1</v>
      </c>
      <c r="E58" s="175">
        <v>1</v>
      </c>
      <c r="G58" s="99">
        <v>0</v>
      </c>
      <c r="H58" s="99">
        <v>0</v>
      </c>
      <c r="I58" s="68">
        <f t="shared" ref="I58" si="21">G58-H58</f>
        <v>0</v>
      </c>
      <c r="J58" s="178">
        <v>0</v>
      </c>
      <c r="K58" s="178">
        <v>0</v>
      </c>
      <c r="L58" s="179">
        <f t="shared" ref="L58" si="22">SUM(J58:K58)</f>
        <v>0</v>
      </c>
      <c r="M58" s="12" t="str">
        <f t="shared" ref="M58" si="23">IFERROR(L58/H58,"N/A")</f>
        <v>N/A</v>
      </c>
      <c r="N58" s="180">
        <v>16040</v>
      </c>
    </row>
    <row r="59" spans="1:14" hidden="1" outlineLevel="1" x14ac:dyDescent="0.2">
      <c r="A59" s="171" t="s">
        <v>78</v>
      </c>
      <c r="B59" s="172" t="s">
        <v>69</v>
      </c>
      <c r="C59" s="173" t="s">
        <v>55</v>
      </c>
      <c r="D59" s="174">
        <v>1</v>
      </c>
      <c r="E59" s="175">
        <v>1</v>
      </c>
      <c r="G59" s="99">
        <v>66560</v>
      </c>
      <c r="H59" s="99">
        <v>8640</v>
      </c>
      <c r="I59" s="68">
        <f>G59-H59</f>
        <v>57920</v>
      </c>
      <c r="J59" s="178">
        <v>0</v>
      </c>
      <c r="K59" s="178">
        <f>8320+320</f>
        <v>8640</v>
      </c>
      <c r="L59" s="179">
        <f>SUM(J59:K59)</f>
        <v>8640</v>
      </c>
      <c r="M59" s="12">
        <f>IFERROR(L59/H59,"N/A")</f>
        <v>1</v>
      </c>
      <c r="N59" s="180">
        <v>8960</v>
      </c>
    </row>
    <row r="60" spans="1:14" collapsed="1" x14ac:dyDescent="0.2">
      <c r="A60" s="171"/>
      <c r="B60" s="172"/>
      <c r="C60" s="173" t="s">
        <v>55</v>
      </c>
      <c r="D60" s="174">
        <f>SUM(D50:D59)</f>
        <v>10</v>
      </c>
      <c r="E60" s="175"/>
      <c r="G60" s="112">
        <f>SUM(G50:G59)</f>
        <v>459326</v>
      </c>
      <c r="H60" s="112">
        <f>SUM(H50:H59)</f>
        <v>174625</v>
      </c>
      <c r="I60" s="68">
        <f>G60-H60</f>
        <v>284701</v>
      </c>
      <c r="J60" s="178">
        <f>SUM(J50:J59)</f>
        <v>98328.819999999992</v>
      </c>
      <c r="K60" s="178">
        <f>SUM(K50:K59)</f>
        <v>76296.179999999993</v>
      </c>
      <c r="L60" s="179">
        <f>SUM(J60:K60)</f>
        <v>174625</v>
      </c>
      <c r="M60" s="12">
        <f>IFERROR(L60/H60,"N/A")</f>
        <v>1</v>
      </c>
      <c r="N60" s="180">
        <f>SUM(N50:N59)</f>
        <v>428248</v>
      </c>
    </row>
    <row r="61" spans="1:14" ht="13.5" thickBot="1" x14ac:dyDescent="0.25">
      <c r="A61" s="137"/>
      <c r="B61" s="138"/>
      <c r="C61" s="183" t="s">
        <v>79</v>
      </c>
      <c r="D61" s="184"/>
      <c r="E61" s="184"/>
      <c r="F61" s="138"/>
      <c r="G61" s="113">
        <f>SUM(G49,G60)</f>
        <v>594326</v>
      </c>
      <c r="H61" s="113">
        <f>SUM(H49,H60)</f>
        <v>225032</v>
      </c>
      <c r="I61" s="113">
        <f t="shared" ref="I61:L61" si="24">SUM(I49,I60)</f>
        <v>369294</v>
      </c>
      <c r="J61" s="113">
        <f t="shared" si="24"/>
        <v>124101.81999999999</v>
      </c>
      <c r="K61" s="113">
        <f t="shared" si="24"/>
        <v>100930.18</v>
      </c>
      <c r="L61" s="113">
        <f t="shared" si="24"/>
        <v>225032</v>
      </c>
      <c r="M61" s="19">
        <f t="shared" si="11"/>
        <v>1</v>
      </c>
      <c r="N61" s="69">
        <f>SUM(N49,N60)</f>
        <v>563863</v>
      </c>
    </row>
    <row r="62" spans="1:14" ht="13.5" thickBot="1" x14ac:dyDescent="0.25"/>
    <row r="63" spans="1:14" x14ac:dyDescent="0.2">
      <c r="A63" s="185" t="s">
        <v>80</v>
      </c>
      <c r="B63" s="160"/>
      <c r="C63" s="160"/>
      <c r="D63" s="160"/>
      <c r="E63" s="160"/>
      <c r="F63" s="161"/>
      <c r="G63" s="162"/>
      <c r="H63" s="162"/>
      <c r="I63" s="162"/>
      <c r="J63" s="162"/>
      <c r="K63" s="162"/>
      <c r="L63" s="162"/>
      <c r="M63" s="4"/>
      <c r="N63" s="3"/>
    </row>
    <row r="64" spans="1:14" s="167" customFormat="1" ht="11.25" x14ac:dyDescent="0.2">
      <c r="A64" s="163" t="s">
        <v>81</v>
      </c>
      <c r="B64" s="164"/>
      <c r="C64" s="164"/>
      <c r="D64" s="164"/>
      <c r="E64" s="164"/>
      <c r="F64" s="165"/>
      <c r="G64" s="166"/>
      <c r="H64" s="166"/>
      <c r="I64" s="166"/>
      <c r="J64" s="166"/>
      <c r="K64" s="166"/>
      <c r="L64" s="166"/>
      <c r="M64" s="6"/>
      <c r="N64" s="5"/>
    </row>
    <row r="65" spans="1:14" ht="33.75" x14ac:dyDescent="0.2">
      <c r="A65" s="186" t="s">
        <v>82</v>
      </c>
      <c r="B65" s="187"/>
      <c r="C65" s="188"/>
      <c r="D65" s="188"/>
      <c r="E65" s="188"/>
      <c r="F65" s="188"/>
      <c r="G65" s="170" t="str">
        <f>G$18</f>
        <v>TOTAL
PROGRAM
BUDGET</v>
      </c>
      <c r="H65" s="170" t="str">
        <f t="shared" ref="H65:N65" si="25">H$18</f>
        <v>HSGP GRANT
BUDGET</v>
      </c>
      <c r="I65" s="170" t="str">
        <f t="shared" si="25"/>
        <v>NON-CITY PROGRAM BUDGET</v>
      </c>
      <c r="J65" s="170" t="str">
        <f t="shared" si="25"/>
        <v>HSGP
MID-YEAR EXPEND.</v>
      </c>
      <c r="K65" s="170" t="str">
        <f t="shared" si="25"/>
        <v>HSGP
YEAR-END EXPEND.</v>
      </c>
      <c r="L65" s="170" t="str">
        <f t="shared" si="25"/>
        <v>HSGP TOTAL EXPEND.</v>
      </c>
      <c r="M65" s="18" t="str">
        <f t="shared" si="25"/>
        <v>HSGP PERCENT EXPENDED</v>
      </c>
      <c r="N65" s="93" t="str">
        <f t="shared" si="25"/>
        <v>YEAR-END
 TOTAL PROGRAM EXPEND.</v>
      </c>
    </row>
    <row r="66" spans="1:14" x14ac:dyDescent="0.2">
      <c r="A66" s="189" t="s">
        <v>83</v>
      </c>
      <c r="B66" s="190"/>
      <c r="C66" s="190"/>
      <c r="D66" s="191"/>
      <c r="E66" s="192"/>
      <c r="F66" s="193"/>
      <c r="G66" s="194">
        <v>43988</v>
      </c>
      <c r="H66" s="195">
        <v>16602</v>
      </c>
      <c r="I66" s="64">
        <f t="shared" ref="I66:I71" si="26">G66-H66</f>
        <v>27386</v>
      </c>
      <c r="J66" s="178">
        <f>8236+72+573.18+377.2</f>
        <v>9258.380000000001</v>
      </c>
      <c r="K66" s="178">
        <f>16602-J66</f>
        <v>7343.619999999999</v>
      </c>
      <c r="L66" s="64">
        <f>SUM(J66:K66)</f>
        <v>16602</v>
      </c>
      <c r="M66" s="12">
        <f>IFERROR(L66/H66,"N/A")</f>
        <v>1</v>
      </c>
      <c r="N66" s="196">
        <v>41509</v>
      </c>
    </row>
    <row r="67" spans="1:14" x14ac:dyDescent="0.2">
      <c r="A67" s="197" t="s">
        <v>84</v>
      </c>
      <c r="B67" s="190"/>
      <c r="C67" s="101"/>
      <c r="D67" s="191"/>
      <c r="E67" s="192"/>
      <c r="F67" s="193"/>
      <c r="G67" s="198">
        <v>5750</v>
      </c>
      <c r="H67" s="195">
        <v>2178</v>
      </c>
      <c r="I67" s="68">
        <f t="shared" si="26"/>
        <v>3572</v>
      </c>
      <c r="J67" s="178">
        <f>1045+7+59.32+39.04</f>
        <v>1150.3599999999999</v>
      </c>
      <c r="K67" s="199">
        <f>2178-J67</f>
        <v>1027.6400000000001</v>
      </c>
      <c r="L67" s="68">
        <f t="shared" ref="L67:L71" si="27">SUM(J67:K67)</f>
        <v>2178</v>
      </c>
      <c r="M67" s="11">
        <f t="shared" ref="M67:M71" si="28">IFERROR(L67/H67,"N/A")</f>
        <v>1</v>
      </c>
      <c r="N67" s="200">
        <v>5683</v>
      </c>
    </row>
    <row r="68" spans="1:14" x14ac:dyDescent="0.2">
      <c r="A68" s="197" t="s">
        <v>85</v>
      </c>
      <c r="B68" s="190"/>
      <c r="C68" s="101"/>
      <c r="D68" s="191"/>
      <c r="E68" s="192"/>
      <c r="F68" s="193"/>
      <c r="G68" s="198">
        <v>4888</v>
      </c>
      <c r="H68" s="195">
        <v>1567</v>
      </c>
      <c r="I68" s="68">
        <f t="shared" si="26"/>
        <v>3321</v>
      </c>
      <c r="J68" s="178">
        <f>691+2+17.12+11.27</f>
        <v>721.39</v>
      </c>
      <c r="K68" s="199">
        <f>1567-J68</f>
        <v>845.61</v>
      </c>
      <c r="L68" s="68">
        <f t="shared" si="27"/>
        <v>1567</v>
      </c>
      <c r="M68" s="11">
        <f t="shared" si="28"/>
        <v>1</v>
      </c>
      <c r="N68" s="200">
        <v>3564</v>
      </c>
    </row>
    <row r="69" spans="1:14" x14ac:dyDescent="0.2">
      <c r="A69" s="197" t="s">
        <v>86</v>
      </c>
      <c r="B69" s="190"/>
      <c r="C69" s="101"/>
      <c r="D69" s="191"/>
      <c r="E69" s="192"/>
      <c r="F69" s="193"/>
      <c r="G69" s="198">
        <v>28750</v>
      </c>
      <c r="H69" s="195">
        <v>15277</v>
      </c>
      <c r="I69" s="68">
        <f t="shared" ref="I69" si="29">G69-H69</f>
        <v>13473</v>
      </c>
      <c r="J69" s="178">
        <f>7492+40+321.59+211.63</f>
        <v>8065.22</v>
      </c>
      <c r="K69" s="199">
        <f>15277-J69</f>
        <v>7211.78</v>
      </c>
      <c r="L69" s="68">
        <f t="shared" ref="L69" si="30">SUM(J69:K69)</f>
        <v>15277</v>
      </c>
      <c r="M69" s="11">
        <f t="shared" ref="M69" si="31">IFERROR(L69/H69,"N/A")</f>
        <v>1</v>
      </c>
      <c r="N69" s="200">
        <v>32578</v>
      </c>
    </row>
    <row r="70" spans="1:14" x14ac:dyDescent="0.2">
      <c r="A70" s="197" t="s">
        <v>87</v>
      </c>
      <c r="B70" s="190"/>
      <c r="C70" s="101"/>
      <c r="D70" s="191"/>
      <c r="E70" s="192"/>
      <c r="F70" s="193"/>
      <c r="G70" s="198">
        <v>3555</v>
      </c>
      <c r="H70" s="195">
        <v>5146</v>
      </c>
      <c r="I70" s="68">
        <v>0</v>
      </c>
      <c r="J70" s="178">
        <f>1932+8+67.68+44.12</f>
        <v>2051.8000000000002</v>
      </c>
      <c r="K70" s="199">
        <f>5146-J70</f>
        <v>3094.2</v>
      </c>
      <c r="L70" s="68">
        <f t="shared" si="27"/>
        <v>5146</v>
      </c>
      <c r="M70" s="11">
        <f t="shared" si="28"/>
        <v>1</v>
      </c>
      <c r="N70" s="200">
        <v>9238</v>
      </c>
    </row>
    <row r="71" spans="1:14" x14ac:dyDescent="0.2">
      <c r="A71" s="201"/>
      <c r="B71" s="190"/>
      <c r="C71" s="102"/>
      <c r="D71" s="202"/>
      <c r="E71" s="203"/>
      <c r="F71" s="193"/>
      <c r="G71" s="107">
        <v>0</v>
      </c>
      <c r="H71" s="107">
        <v>0</v>
      </c>
      <c r="I71" s="68">
        <f t="shared" si="26"/>
        <v>0</v>
      </c>
      <c r="J71" s="178">
        <v>0</v>
      </c>
      <c r="K71" s="199">
        <v>0</v>
      </c>
      <c r="L71" s="68">
        <f t="shared" si="27"/>
        <v>0</v>
      </c>
      <c r="M71" s="11" t="str">
        <f t="shared" si="28"/>
        <v>N/A</v>
      </c>
      <c r="N71" s="200">
        <v>0</v>
      </c>
    </row>
    <row r="72" spans="1:14" ht="13.5" thickBot="1" x14ac:dyDescent="0.25">
      <c r="A72" s="137"/>
      <c r="B72" s="138"/>
      <c r="C72" s="204" t="s">
        <v>88</v>
      </c>
      <c r="D72" s="205"/>
      <c r="E72" s="205"/>
      <c r="F72" s="206"/>
      <c r="G72" s="69">
        <f t="shared" ref="G72:L72" si="32">SUM(G66:G71)</f>
        <v>86931</v>
      </c>
      <c r="H72" s="69">
        <f t="shared" si="32"/>
        <v>40770</v>
      </c>
      <c r="I72" s="69">
        <f t="shared" si="32"/>
        <v>47752</v>
      </c>
      <c r="J72" s="69">
        <f t="shared" si="32"/>
        <v>21247.15</v>
      </c>
      <c r="K72" s="69">
        <f t="shared" si="32"/>
        <v>19522.849999999999</v>
      </c>
      <c r="L72" s="69">
        <f t="shared" si="32"/>
        <v>40770</v>
      </c>
      <c r="M72" s="19">
        <f>IFERROR(L72/H72,"N/A")</f>
        <v>1</v>
      </c>
      <c r="N72" s="70">
        <f>SUM(N66:N71)</f>
        <v>92572</v>
      </c>
    </row>
    <row r="73" spans="1:14" ht="13.5" thickBot="1" x14ac:dyDescent="0.25"/>
    <row r="74" spans="1:14" s="167" customFormat="1" x14ac:dyDescent="0.2">
      <c r="A74" s="185" t="s">
        <v>89</v>
      </c>
      <c r="B74" s="160"/>
      <c r="C74" s="160"/>
      <c r="D74" s="160"/>
      <c r="E74" s="160"/>
      <c r="F74" s="161"/>
      <c r="G74" s="162"/>
      <c r="H74" s="162"/>
      <c r="I74" s="162"/>
      <c r="J74" s="162"/>
      <c r="K74" s="162"/>
      <c r="L74" s="162"/>
      <c r="M74" s="4"/>
      <c r="N74" s="3"/>
    </row>
    <row r="75" spans="1:14" s="167" customFormat="1" ht="11.25" x14ac:dyDescent="0.2">
      <c r="A75" s="163" t="s">
        <v>90</v>
      </c>
      <c r="B75" s="164"/>
      <c r="C75" s="164"/>
      <c r="D75" s="164"/>
      <c r="E75" s="164"/>
      <c r="F75" s="165"/>
      <c r="G75" s="166"/>
      <c r="H75" s="166"/>
      <c r="I75" s="166"/>
      <c r="J75" s="166"/>
      <c r="K75" s="166"/>
      <c r="L75" s="166"/>
      <c r="M75" s="6"/>
      <c r="N75" s="5"/>
    </row>
    <row r="76" spans="1:14" ht="33.75" x14ac:dyDescent="0.2">
      <c r="A76" s="186" t="s">
        <v>82</v>
      </c>
      <c r="B76" s="187"/>
      <c r="C76" s="188"/>
      <c r="D76" s="188"/>
      <c r="E76" s="188"/>
      <c r="F76" s="188"/>
      <c r="G76" s="170" t="str">
        <f>G$18</f>
        <v>TOTAL
PROGRAM
BUDGET</v>
      </c>
      <c r="H76" s="170" t="str">
        <f t="shared" ref="H76:N76" si="33">H$18</f>
        <v>HSGP GRANT
BUDGET</v>
      </c>
      <c r="I76" s="170" t="str">
        <f t="shared" si="33"/>
        <v>NON-CITY PROGRAM BUDGET</v>
      </c>
      <c r="J76" s="170" t="str">
        <f t="shared" si="33"/>
        <v>HSGP
MID-YEAR EXPEND.</v>
      </c>
      <c r="K76" s="170" t="str">
        <f t="shared" si="33"/>
        <v>HSGP
YEAR-END EXPEND.</v>
      </c>
      <c r="L76" s="170" t="str">
        <f t="shared" si="33"/>
        <v>HSGP TOTAL EXPEND.</v>
      </c>
      <c r="M76" s="18" t="str">
        <f t="shared" si="33"/>
        <v>HSGP PERCENT EXPENDED</v>
      </c>
      <c r="N76" s="93" t="str">
        <f t="shared" si="33"/>
        <v>YEAR-END
 TOTAL PROGRAM EXPEND.</v>
      </c>
    </row>
    <row r="77" spans="1:14" x14ac:dyDescent="0.2">
      <c r="A77" s="207" t="s">
        <v>91</v>
      </c>
      <c r="B77" s="208"/>
      <c r="C77" s="103"/>
      <c r="D77" s="209"/>
      <c r="E77" s="210"/>
      <c r="F77" s="193"/>
      <c r="G77" s="194">
        <v>5872</v>
      </c>
      <c r="H77" s="211">
        <v>4424</v>
      </c>
      <c r="I77" s="64">
        <f>G77-H77</f>
        <v>1448</v>
      </c>
      <c r="J77" s="178">
        <v>1321</v>
      </c>
      <c r="K77" s="178">
        <f>4424-J77</f>
        <v>3103</v>
      </c>
      <c r="L77" s="64">
        <f>SUM(J77:K77)</f>
        <v>4424</v>
      </c>
      <c r="M77" s="12">
        <f>IFERROR(L77/H77,"N/A")</f>
        <v>1</v>
      </c>
      <c r="N77" s="196">
        <v>8267</v>
      </c>
    </row>
    <row r="78" spans="1:14" x14ac:dyDescent="0.2">
      <c r="A78" s="212" t="s">
        <v>92</v>
      </c>
      <c r="B78" s="208"/>
      <c r="C78" s="103"/>
      <c r="D78" s="209"/>
      <c r="E78" s="210"/>
      <c r="F78" s="193"/>
      <c r="G78" s="198">
        <v>2000</v>
      </c>
      <c r="H78" s="213">
        <v>1950</v>
      </c>
      <c r="I78" s="71">
        <f t="shared" ref="I78" si="34">G78-H78</f>
        <v>50</v>
      </c>
      <c r="J78" s="214">
        <v>808</v>
      </c>
      <c r="K78" s="214">
        <f>1950-J78</f>
        <v>1142</v>
      </c>
      <c r="L78" s="68">
        <f t="shared" ref="L78" si="35">SUM(J78:K78)</f>
        <v>1950</v>
      </c>
      <c r="M78" s="11">
        <f t="shared" ref="M78" si="36">IFERROR(L78/H78,"N/A")</f>
        <v>1</v>
      </c>
      <c r="N78" s="200">
        <v>3354</v>
      </c>
    </row>
    <row r="79" spans="1:14" x14ac:dyDescent="0.2">
      <c r="A79" s="212" t="s">
        <v>93</v>
      </c>
      <c r="B79" s="208"/>
      <c r="C79" s="103"/>
      <c r="D79" s="209"/>
      <c r="E79" s="210"/>
      <c r="F79" s="193"/>
      <c r="G79" s="198">
        <v>2250</v>
      </c>
      <c r="H79" s="213">
        <v>27973</v>
      </c>
      <c r="I79" s="71">
        <f t="shared" ref="I79" si="37">G79-H79</f>
        <v>-25723</v>
      </c>
      <c r="J79" s="214">
        <v>1522</v>
      </c>
      <c r="K79" s="214">
        <f>27973-J79</f>
        <v>26451</v>
      </c>
      <c r="L79" s="68">
        <f t="shared" ref="L79" si="38">SUM(J79:K79)</f>
        <v>27973</v>
      </c>
      <c r="M79" s="11">
        <f t="shared" ref="M79" si="39">IFERROR(L79/H79,"N/A")</f>
        <v>1</v>
      </c>
      <c r="N79" s="200">
        <f>37632+8000</f>
        <v>45632</v>
      </c>
    </row>
    <row r="80" spans="1:14" x14ac:dyDescent="0.2">
      <c r="A80" s="212"/>
      <c r="B80" s="208"/>
      <c r="C80" s="103"/>
      <c r="D80" s="209"/>
      <c r="E80" s="210"/>
      <c r="F80" s="193"/>
      <c r="G80" s="107">
        <v>0</v>
      </c>
      <c r="H80" s="107">
        <v>0</v>
      </c>
      <c r="I80" s="71">
        <f t="shared" ref="I80" si="40">G80-H80</f>
        <v>0</v>
      </c>
      <c r="J80" s="214">
        <v>0</v>
      </c>
      <c r="K80" s="214">
        <v>0</v>
      </c>
      <c r="L80" s="68">
        <f t="shared" ref="L80" si="41">SUM(J80:K80)</f>
        <v>0</v>
      </c>
      <c r="M80" s="11" t="str">
        <f t="shared" ref="M80" si="42">IFERROR(L80/H80,"N/A")</f>
        <v>N/A</v>
      </c>
      <c r="N80" s="200">
        <v>0</v>
      </c>
    </row>
    <row r="81" spans="1:14" ht="13.5" thickBot="1" x14ac:dyDescent="0.25">
      <c r="A81" s="137"/>
      <c r="B81" s="138"/>
      <c r="C81" s="204" t="s">
        <v>94</v>
      </c>
      <c r="D81" s="205"/>
      <c r="E81" s="205"/>
      <c r="F81" s="206"/>
      <c r="G81" s="69">
        <f t="shared" ref="G81:L81" si="43">SUM(G77:G80)</f>
        <v>10122</v>
      </c>
      <c r="H81" s="69">
        <f t="shared" si="43"/>
        <v>34347</v>
      </c>
      <c r="I81" s="69">
        <f t="shared" si="43"/>
        <v>-24225</v>
      </c>
      <c r="J81" s="69">
        <f t="shared" si="43"/>
        <v>3651</v>
      </c>
      <c r="K81" s="69">
        <f t="shared" si="43"/>
        <v>30696</v>
      </c>
      <c r="L81" s="69">
        <f t="shared" si="43"/>
        <v>34347</v>
      </c>
      <c r="M81" s="19">
        <f>IFERROR(L81/H81,"N/A")</f>
        <v>1</v>
      </c>
      <c r="N81" s="70">
        <f>SUM(N77:N80)</f>
        <v>57253</v>
      </c>
    </row>
    <row r="82" spans="1:14" ht="13.5" thickBot="1" x14ac:dyDescent="0.25"/>
    <row r="83" spans="1:14" s="167" customFormat="1" x14ac:dyDescent="0.2">
      <c r="A83" s="159" t="s">
        <v>95</v>
      </c>
      <c r="B83" s="160"/>
      <c r="C83" s="160"/>
      <c r="D83" s="160"/>
      <c r="E83" s="160"/>
      <c r="F83" s="161"/>
      <c r="G83" s="162"/>
      <c r="H83" s="162"/>
      <c r="I83" s="162"/>
      <c r="J83" s="162"/>
      <c r="K83" s="162"/>
      <c r="L83" s="162"/>
      <c r="M83" s="4"/>
      <c r="N83" s="3"/>
    </row>
    <row r="84" spans="1:14" x14ac:dyDescent="0.2">
      <c r="A84" s="163" t="s">
        <v>96</v>
      </c>
      <c r="B84" s="164"/>
      <c r="C84" s="164"/>
      <c r="D84" s="164"/>
      <c r="E84" s="164"/>
      <c r="F84" s="165"/>
      <c r="G84" s="166"/>
      <c r="H84" s="166"/>
      <c r="I84" s="166"/>
      <c r="J84" s="166"/>
      <c r="K84" s="166"/>
      <c r="L84" s="166"/>
      <c r="M84" s="6"/>
      <c r="N84" s="5"/>
    </row>
    <row r="85" spans="1:14" ht="33.75" x14ac:dyDescent="0.2">
      <c r="A85" s="186" t="s">
        <v>82</v>
      </c>
      <c r="B85" s="187"/>
      <c r="C85" s="188"/>
      <c r="D85" s="188"/>
      <c r="E85" s="188"/>
      <c r="F85" s="188"/>
      <c r="G85" s="170" t="str">
        <f>G$18</f>
        <v>TOTAL
PROGRAM
BUDGET</v>
      </c>
      <c r="H85" s="170" t="str">
        <f t="shared" ref="H85:N85" si="44">H$18</f>
        <v>HSGP GRANT
BUDGET</v>
      </c>
      <c r="I85" s="170" t="str">
        <f t="shared" si="44"/>
        <v>NON-CITY PROGRAM BUDGET</v>
      </c>
      <c r="J85" s="170" t="str">
        <f t="shared" si="44"/>
        <v>HSGP
MID-YEAR EXPEND.</v>
      </c>
      <c r="K85" s="170" t="str">
        <f t="shared" si="44"/>
        <v>HSGP
YEAR-END EXPEND.</v>
      </c>
      <c r="L85" s="170" t="str">
        <f t="shared" si="44"/>
        <v>HSGP TOTAL EXPEND.</v>
      </c>
      <c r="M85" s="18" t="str">
        <f t="shared" si="44"/>
        <v>HSGP PERCENT EXPENDED</v>
      </c>
      <c r="N85" s="93" t="str">
        <f t="shared" si="44"/>
        <v>YEAR-END
 TOTAL PROGRAM EXPEND.</v>
      </c>
    </row>
    <row r="86" spans="1:14" x14ac:dyDescent="0.2">
      <c r="A86" s="215" t="s">
        <v>97</v>
      </c>
      <c r="B86" s="208"/>
      <c r="C86" s="103"/>
      <c r="D86" s="209"/>
      <c r="E86" s="210"/>
      <c r="F86" s="193"/>
      <c r="G86" s="194">
        <v>18306</v>
      </c>
      <c r="H86" s="195">
        <v>16429</v>
      </c>
      <c r="I86" s="64">
        <f t="shared" ref="I86:I100" si="45">G86-H86</f>
        <v>1877</v>
      </c>
      <c r="J86" s="178">
        <v>4482</v>
      </c>
      <c r="K86" s="178">
        <f>16429-J86</f>
        <v>11947</v>
      </c>
      <c r="L86" s="64">
        <f>SUM(J86:K86)</f>
        <v>16429</v>
      </c>
      <c r="M86" s="12">
        <f>IFERROR(L86/H86,"N/A")</f>
        <v>1</v>
      </c>
      <c r="N86" s="196">
        <v>23159</v>
      </c>
    </row>
    <row r="87" spans="1:14" x14ac:dyDescent="0.2">
      <c r="A87" s="216" t="s">
        <v>98</v>
      </c>
      <c r="B87" s="208"/>
      <c r="C87" s="103"/>
      <c r="D87" s="209"/>
      <c r="E87" s="210"/>
      <c r="F87" s="193"/>
      <c r="G87" s="198">
        <v>7000</v>
      </c>
      <c r="H87" s="195">
        <v>6633</v>
      </c>
      <c r="I87" s="68">
        <f t="shared" ref="I87:I95" si="46">G87-H87</f>
        <v>367</v>
      </c>
      <c r="J87" s="178">
        <v>3265</v>
      </c>
      <c r="K87" s="199">
        <f>6633-J87</f>
        <v>3368</v>
      </c>
      <c r="L87" s="68">
        <f>SUM(J87:K87)</f>
        <v>6633</v>
      </c>
      <c r="M87" s="11">
        <f>IFERROR(L87/H87,"N/A")</f>
        <v>1</v>
      </c>
      <c r="N87" s="200">
        <v>9223</v>
      </c>
    </row>
    <row r="88" spans="1:14" x14ac:dyDescent="0.2">
      <c r="A88" s="216" t="s">
        <v>99</v>
      </c>
      <c r="B88" s="208"/>
      <c r="C88" s="103"/>
      <c r="D88" s="209"/>
      <c r="E88" s="210"/>
      <c r="F88" s="193"/>
      <c r="G88" s="198">
        <v>4339</v>
      </c>
      <c r="H88" s="195">
        <v>3157</v>
      </c>
      <c r="I88" s="64">
        <f t="shared" si="46"/>
        <v>1182</v>
      </c>
      <c r="J88" s="178">
        <v>1443</v>
      </c>
      <c r="K88" s="178">
        <f>3157-J88</f>
        <v>1714</v>
      </c>
      <c r="L88" s="64">
        <f t="shared" ref="L88:L91" si="47">SUM(J88:K88)</f>
        <v>3157</v>
      </c>
      <c r="M88" s="12">
        <f t="shared" ref="M88:M91" si="48">IFERROR(L88/H88,"N/A")</f>
        <v>1</v>
      </c>
      <c r="N88" s="196">
        <v>6164</v>
      </c>
    </row>
    <row r="89" spans="1:14" x14ac:dyDescent="0.2">
      <c r="A89" s="216" t="s">
        <v>100</v>
      </c>
      <c r="B89" s="208"/>
      <c r="C89" s="103"/>
      <c r="D89" s="209"/>
      <c r="E89" s="210"/>
      <c r="F89" s="193"/>
      <c r="G89" s="198">
        <v>1638</v>
      </c>
      <c r="H89" s="195">
        <v>471</v>
      </c>
      <c r="I89" s="64">
        <f t="shared" si="46"/>
        <v>1167</v>
      </c>
      <c r="J89" s="178">
        <v>281</v>
      </c>
      <c r="K89" s="178">
        <f>471-J89</f>
        <v>190</v>
      </c>
      <c r="L89" s="64">
        <f t="shared" si="47"/>
        <v>471</v>
      </c>
      <c r="M89" s="12">
        <f t="shared" si="48"/>
        <v>1</v>
      </c>
      <c r="N89" s="196">
        <v>1394</v>
      </c>
    </row>
    <row r="90" spans="1:14" x14ac:dyDescent="0.2">
      <c r="A90" s="216" t="s">
        <v>101</v>
      </c>
      <c r="B90" s="208"/>
      <c r="C90" s="103"/>
      <c r="D90" s="209"/>
      <c r="E90" s="210"/>
      <c r="F90" s="193"/>
      <c r="G90" s="198">
        <v>4200</v>
      </c>
      <c r="H90" s="195">
        <v>3404</v>
      </c>
      <c r="I90" s="64">
        <f t="shared" si="46"/>
        <v>796</v>
      </c>
      <c r="J90" s="178">
        <v>1739</v>
      </c>
      <c r="K90" s="178">
        <f>3404-J90</f>
        <v>1665</v>
      </c>
      <c r="L90" s="64">
        <f t="shared" si="47"/>
        <v>3404</v>
      </c>
      <c r="M90" s="12">
        <f t="shared" si="48"/>
        <v>1</v>
      </c>
      <c r="N90" s="196">
        <v>11614</v>
      </c>
    </row>
    <row r="91" spans="1:14" x14ac:dyDescent="0.2">
      <c r="A91" s="216" t="s">
        <v>102</v>
      </c>
      <c r="B91" s="208"/>
      <c r="C91" s="103"/>
      <c r="D91" s="209"/>
      <c r="E91" s="210"/>
      <c r="F91" s="193"/>
      <c r="G91" s="198">
        <v>360</v>
      </c>
      <c r="H91" s="195">
        <v>0</v>
      </c>
      <c r="I91" s="71">
        <f>360</f>
        <v>360</v>
      </c>
      <c r="J91" s="214">
        <v>0</v>
      </c>
      <c r="K91" s="214">
        <f>0</f>
        <v>0</v>
      </c>
      <c r="L91" s="68">
        <f t="shared" si="47"/>
        <v>0</v>
      </c>
      <c r="M91" s="11" t="str">
        <f t="shared" si="48"/>
        <v>N/A</v>
      </c>
      <c r="N91" s="200">
        <f>7053+1499+469</f>
        <v>9021</v>
      </c>
    </row>
    <row r="92" spans="1:14" x14ac:dyDescent="0.2">
      <c r="A92" s="216" t="s">
        <v>103</v>
      </c>
      <c r="B92" s="208"/>
      <c r="C92" s="103"/>
      <c r="D92" s="209"/>
      <c r="E92" s="210"/>
      <c r="F92" s="193"/>
      <c r="G92" s="198">
        <v>3600</v>
      </c>
      <c r="H92" s="195">
        <v>0</v>
      </c>
      <c r="I92" s="68">
        <v>3600</v>
      </c>
      <c r="J92" s="178">
        <v>0</v>
      </c>
      <c r="K92" s="199">
        <f>0</f>
        <v>0</v>
      </c>
      <c r="L92" s="68">
        <f>SUM(J92:K92)</f>
        <v>0</v>
      </c>
      <c r="M92" s="11" t="str">
        <f>IFERROR(L92/H92,"N/A")</f>
        <v>N/A</v>
      </c>
      <c r="N92" s="200">
        <f>3331+1140</f>
        <v>4471</v>
      </c>
    </row>
    <row r="93" spans="1:14" x14ac:dyDescent="0.2">
      <c r="A93" s="216" t="s">
        <v>104</v>
      </c>
      <c r="B93" s="208"/>
      <c r="C93" s="103"/>
      <c r="D93" s="209"/>
      <c r="E93" s="210"/>
      <c r="F93" s="193"/>
      <c r="G93" s="198">
        <v>5503</v>
      </c>
      <c r="H93" s="195">
        <v>7830</v>
      </c>
      <c r="I93" s="64">
        <f t="shared" si="46"/>
        <v>-2327</v>
      </c>
      <c r="J93" s="178">
        <v>2476</v>
      </c>
      <c r="K93" s="178">
        <f>7830-J93</f>
        <v>5354</v>
      </c>
      <c r="L93" s="64">
        <f t="shared" ref="L93:L95" si="49">SUM(J93:K93)</f>
        <v>7830</v>
      </c>
      <c r="M93" s="12">
        <f t="shared" ref="M93:M95" si="50">IFERROR(L93/H93,"N/A")</f>
        <v>1</v>
      </c>
      <c r="N93" s="196">
        <v>15689</v>
      </c>
    </row>
    <row r="94" spans="1:14" x14ac:dyDescent="0.2">
      <c r="A94" s="216" t="s">
        <v>105</v>
      </c>
      <c r="B94" s="208"/>
      <c r="C94" s="103"/>
      <c r="D94" s="209"/>
      <c r="E94" s="210"/>
      <c r="F94" s="193"/>
      <c r="G94" s="198">
        <v>1000</v>
      </c>
      <c r="H94" s="195">
        <v>1415</v>
      </c>
      <c r="I94" s="64">
        <f t="shared" si="46"/>
        <v>-415</v>
      </c>
      <c r="J94" s="178">
        <v>632</v>
      </c>
      <c r="K94" s="178">
        <f>1415-J94</f>
        <v>783</v>
      </c>
      <c r="L94" s="64">
        <f t="shared" si="49"/>
        <v>1415</v>
      </c>
      <c r="M94" s="12">
        <f t="shared" si="50"/>
        <v>1</v>
      </c>
      <c r="N94" s="196">
        <v>1690</v>
      </c>
    </row>
    <row r="95" spans="1:14" x14ac:dyDescent="0.2">
      <c r="A95" s="216" t="s">
        <v>106</v>
      </c>
      <c r="B95" s="208"/>
      <c r="C95" s="103"/>
      <c r="D95" s="209"/>
      <c r="E95" s="210"/>
      <c r="F95" s="193"/>
      <c r="G95" s="198">
        <v>1500</v>
      </c>
      <c r="H95" s="195">
        <v>9456</v>
      </c>
      <c r="I95" s="64">
        <f t="shared" si="46"/>
        <v>-7956</v>
      </c>
      <c r="J95" s="178">
        <f>991</f>
        <v>991</v>
      </c>
      <c r="K95" s="178">
        <f>2181+7275-J95</f>
        <v>8465</v>
      </c>
      <c r="L95" s="64">
        <f t="shared" si="49"/>
        <v>9456</v>
      </c>
      <c r="M95" s="12">
        <f t="shared" si="50"/>
        <v>1</v>
      </c>
      <c r="N95" s="196">
        <f>6030+9675</f>
        <v>15705</v>
      </c>
    </row>
    <row r="96" spans="1:14" x14ac:dyDescent="0.2">
      <c r="A96" s="216" t="s">
        <v>107</v>
      </c>
      <c r="B96" s="208"/>
      <c r="C96" s="103"/>
      <c r="D96" s="209"/>
      <c r="E96" s="210"/>
      <c r="F96" s="193"/>
      <c r="G96" s="198">
        <v>1350</v>
      </c>
      <c r="H96" s="195">
        <v>2350</v>
      </c>
      <c r="I96" s="68">
        <f t="shared" si="45"/>
        <v>-1000</v>
      </c>
      <c r="J96" s="178">
        <v>0</v>
      </c>
      <c r="K96" s="199">
        <f>2350-J96</f>
        <v>2350</v>
      </c>
      <c r="L96" s="68">
        <f>SUM(J96:K96)</f>
        <v>2350</v>
      </c>
      <c r="M96" s="11">
        <f>IFERROR(L96/H96,"N/A")</f>
        <v>1</v>
      </c>
      <c r="N96" s="200">
        <v>2750</v>
      </c>
    </row>
    <row r="97" spans="1:14" x14ac:dyDescent="0.2">
      <c r="A97" s="216" t="s">
        <v>108</v>
      </c>
      <c r="B97" s="208"/>
      <c r="C97" s="103"/>
      <c r="D97" s="209"/>
      <c r="E97" s="210"/>
      <c r="F97" s="193"/>
      <c r="G97" s="198">
        <v>1900</v>
      </c>
      <c r="H97" s="195">
        <v>2816</v>
      </c>
      <c r="I97" s="64">
        <f t="shared" si="45"/>
        <v>-916</v>
      </c>
      <c r="J97" s="178">
        <v>1055</v>
      </c>
      <c r="K97" s="178">
        <f>2816-J97</f>
        <v>1761</v>
      </c>
      <c r="L97" s="64">
        <f t="shared" ref="L97:L99" si="51">SUM(J97:K97)</f>
        <v>2816</v>
      </c>
      <c r="M97" s="12">
        <f t="shared" ref="M97:M99" si="52">IFERROR(L97/H97,"N/A")</f>
        <v>1</v>
      </c>
      <c r="N97" s="196">
        <v>3832</v>
      </c>
    </row>
    <row r="98" spans="1:14" x14ac:dyDescent="0.2">
      <c r="A98" s="216" t="s">
        <v>109</v>
      </c>
      <c r="B98" s="208"/>
      <c r="C98" s="103"/>
      <c r="D98" s="209"/>
      <c r="E98" s="210"/>
      <c r="F98" s="193"/>
      <c r="G98" s="198">
        <v>8000</v>
      </c>
      <c r="H98" s="195">
        <v>2561</v>
      </c>
      <c r="I98" s="64">
        <f t="shared" si="45"/>
        <v>5439</v>
      </c>
      <c r="J98" s="178">
        <v>563</v>
      </c>
      <c r="K98" s="178">
        <f>2561-J98</f>
        <v>1998</v>
      </c>
      <c r="L98" s="64">
        <f t="shared" si="51"/>
        <v>2561</v>
      </c>
      <c r="M98" s="12">
        <f t="shared" si="52"/>
        <v>1</v>
      </c>
      <c r="N98" s="196">
        <v>3448</v>
      </c>
    </row>
    <row r="99" spans="1:14" x14ac:dyDescent="0.2">
      <c r="A99" s="216" t="s">
        <v>110</v>
      </c>
      <c r="B99" s="208"/>
      <c r="C99" s="103"/>
      <c r="D99" s="209"/>
      <c r="E99" s="210"/>
      <c r="F99" s="193"/>
      <c r="G99" s="217">
        <v>1500</v>
      </c>
      <c r="H99" s="195">
        <v>26591</v>
      </c>
      <c r="I99" s="64">
        <f t="shared" si="45"/>
        <v>-25091</v>
      </c>
      <c r="J99" s="178">
        <v>320</v>
      </c>
      <c r="K99" s="178">
        <f>26591-J99</f>
        <v>26271</v>
      </c>
      <c r="L99" s="64">
        <f t="shared" si="51"/>
        <v>26591</v>
      </c>
      <c r="M99" s="12">
        <f t="shared" si="52"/>
        <v>1</v>
      </c>
      <c r="N99" s="196">
        <v>32567</v>
      </c>
    </row>
    <row r="100" spans="1:14" x14ac:dyDescent="0.2">
      <c r="A100" s="212"/>
      <c r="B100" s="208"/>
      <c r="C100" s="103"/>
      <c r="D100" s="209"/>
      <c r="E100" s="210"/>
      <c r="F100" s="193"/>
      <c r="G100" s="107">
        <v>0</v>
      </c>
      <c r="H100" s="108">
        <v>0</v>
      </c>
      <c r="I100" s="68">
        <f t="shared" si="45"/>
        <v>0</v>
      </c>
      <c r="J100" s="178">
        <v>0</v>
      </c>
      <c r="K100" s="199">
        <v>0</v>
      </c>
      <c r="L100" s="68">
        <f t="shared" ref="L100" si="53">SUM(J100:K100)</f>
        <v>0</v>
      </c>
      <c r="M100" s="11" t="str">
        <f t="shared" ref="M100" si="54">IFERROR(L100/H100,"N/A")</f>
        <v>N/A</v>
      </c>
      <c r="N100" s="200">
        <v>0</v>
      </c>
    </row>
    <row r="101" spans="1:14" ht="13.5" thickBot="1" x14ac:dyDescent="0.25">
      <c r="A101" s="137"/>
      <c r="B101" s="138"/>
      <c r="C101" s="204" t="s">
        <v>111</v>
      </c>
      <c r="D101" s="205"/>
      <c r="E101" s="205"/>
      <c r="F101" s="206"/>
      <c r="G101" s="69">
        <f t="shared" ref="G101:L101" si="55">SUM(G86:G100)</f>
        <v>60196</v>
      </c>
      <c r="H101" s="69">
        <f t="shared" si="55"/>
        <v>83113</v>
      </c>
      <c r="I101" s="69">
        <f t="shared" si="55"/>
        <v>-22917</v>
      </c>
      <c r="J101" s="69">
        <f t="shared" si="55"/>
        <v>17247</v>
      </c>
      <c r="K101" s="69">
        <f t="shared" si="55"/>
        <v>65866</v>
      </c>
      <c r="L101" s="69">
        <f t="shared" si="55"/>
        <v>83113</v>
      </c>
      <c r="M101" s="19">
        <f>IFERROR(L101/H101,"N/A")</f>
        <v>1</v>
      </c>
      <c r="N101" s="70">
        <f>SUM(N86:N100)</f>
        <v>140727</v>
      </c>
    </row>
    <row r="102" spans="1:14" ht="13.5" thickBot="1" x14ac:dyDescent="0.25"/>
    <row r="103" spans="1:14" s="167" customFormat="1" x14ac:dyDescent="0.2">
      <c r="A103" s="185" t="s">
        <v>112</v>
      </c>
      <c r="B103" s="160"/>
      <c r="C103" s="160"/>
      <c r="D103" s="160"/>
      <c r="E103" s="160"/>
      <c r="F103" s="161"/>
      <c r="G103" s="162"/>
      <c r="H103" s="162"/>
      <c r="I103" s="162"/>
      <c r="J103" s="162"/>
      <c r="K103" s="162"/>
      <c r="L103" s="162"/>
      <c r="M103" s="4"/>
      <c r="N103" s="3"/>
    </row>
    <row r="104" spans="1:14" x14ac:dyDescent="0.2">
      <c r="A104" s="163" t="s">
        <v>113</v>
      </c>
      <c r="B104" s="164"/>
      <c r="C104" s="164"/>
      <c r="D104" s="164"/>
      <c r="E104" s="164"/>
      <c r="F104" s="165"/>
      <c r="G104" s="166"/>
      <c r="H104" s="166"/>
      <c r="I104" s="166"/>
      <c r="J104" s="166"/>
      <c r="K104" s="166"/>
      <c r="L104" s="166"/>
      <c r="M104" s="6"/>
      <c r="N104" s="5"/>
    </row>
    <row r="105" spans="1:14" ht="33.75" x14ac:dyDescent="0.2">
      <c r="A105" s="186" t="s">
        <v>82</v>
      </c>
      <c r="B105" s="187"/>
      <c r="C105" s="188"/>
      <c r="D105" s="188"/>
      <c r="E105" s="188"/>
      <c r="F105" s="188"/>
      <c r="G105" s="170" t="str">
        <f>G$18</f>
        <v>TOTAL
PROGRAM
BUDGET</v>
      </c>
      <c r="H105" s="170" t="str">
        <f t="shared" ref="H105:N105" si="56">H$18</f>
        <v>HSGP GRANT
BUDGET</v>
      </c>
      <c r="I105" s="170" t="str">
        <f t="shared" si="56"/>
        <v>NON-CITY PROGRAM BUDGET</v>
      </c>
      <c r="J105" s="170" t="str">
        <f t="shared" si="56"/>
        <v>HSGP
MID-YEAR EXPEND.</v>
      </c>
      <c r="K105" s="170" t="str">
        <f t="shared" si="56"/>
        <v>HSGP
YEAR-END EXPEND.</v>
      </c>
      <c r="L105" s="170" t="str">
        <f t="shared" si="56"/>
        <v>HSGP TOTAL EXPEND.</v>
      </c>
      <c r="M105" s="18" t="str">
        <f t="shared" si="56"/>
        <v>HSGP PERCENT EXPENDED</v>
      </c>
      <c r="N105" s="93" t="str">
        <f t="shared" si="56"/>
        <v>YEAR-END
 TOTAL PROGRAM EXPEND.</v>
      </c>
    </row>
    <row r="106" spans="1:14" x14ac:dyDescent="0.2">
      <c r="A106" s="212" t="s">
        <v>114</v>
      </c>
      <c r="B106" s="208" t="s">
        <v>115</v>
      </c>
      <c r="C106" s="103"/>
      <c r="D106" s="209"/>
      <c r="E106" s="210"/>
      <c r="F106" s="193"/>
      <c r="G106" s="99">
        <v>136000</v>
      </c>
      <c r="H106" s="99">
        <v>127600</v>
      </c>
      <c r="I106" s="64">
        <f t="shared" ref="I106" si="57">G106-H106</f>
        <v>8400</v>
      </c>
      <c r="J106" s="178">
        <v>50400</v>
      </c>
      <c r="K106" s="178">
        <f>127600-J106</f>
        <v>77200</v>
      </c>
      <c r="L106" s="64">
        <f t="shared" ref="L106" si="58">SUM(J106:K106)</f>
        <v>127600</v>
      </c>
      <c r="M106" s="12">
        <f t="shared" ref="M106" si="59">IFERROR(L106/H106,"N/A")</f>
        <v>1</v>
      </c>
      <c r="N106" s="196">
        <v>118880</v>
      </c>
    </row>
    <row r="107" spans="1:14" x14ac:dyDescent="0.2">
      <c r="A107" s="212"/>
      <c r="B107" s="208"/>
      <c r="C107" s="104"/>
      <c r="D107" s="218"/>
      <c r="E107" s="219"/>
      <c r="F107" s="193"/>
      <c r="G107" s="100">
        <v>0</v>
      </c>
      <c r="H107" s="100">
        <v>0</v>
      </c>
      <c r="I107" s="71">
        <f t="shared" ref="I107" si="60">G107-H107</f>
        <v>0</v>
      </c>
      <c r="J107" s="214">
        <v>0</v>
      </c>
      <c r="K107" s="214">
        <v>0</v>
      </c>
      <c r="L107" s="68">
        <f t="shared" ref="L107" si="61">SUM(J107:K107)</f>
        <v>0</v>
      </c>
      <c r="M107" s="11" t="str">
        <f t="shared" ref="M107" si="62">IFERROR(L107/H107,"N/A")</f>
        <v>N/A</v>
      </c>
      <c r="N107" s="200">
        <v>0</v>
      </c>
    </row>
    <row r="108" spans="1:14" ht="13.5" thickBot="1" x14ac:dyDescent="0.25">
      <c r="A108" s="137"/>
      <c r="B108" s="138"/>
      <c r="C108" s="204" t="s">
        <v>116</v>
      </c>
      <c r="D108" s="205"/>
      <c r="E108" s="205"/>
      <c r="F108" s="206"/>
      <c r="G108" s="69">
        <f t="shared" ref="G108:L108" si="63">SUM(G106:G107)</f>
        <v>136000</v>
      </c>
      <c r="H108" s="69">
        <f t="shared" si="63"/>
        <v>127600</v>
      </c>
      <c r="I108" s="69">
        <f t="shared" si="63"/>
        <v>8400</v>
      </c>
      <c r="J108" s="69">
        <f t="shared" si="63"/>
        <v>50400</v>
      </c>
      <c r="K108" s="69">
        <f t="shared" si="63"/>
        <v>77200</v>
      </c>
      <c r="L108" s="69">
        <f t="shared" si="63"/>
        <v>127600</v>
      </c>
      <c r="M108" s="19">
        <f>IFERROR(L108/H108,"N/A")</f>
        <v>1</v>
      </c>
      <c r="N108" s="70">
        <f>SUM(N106:N107)</f>
        <v>118880</v>
      </c>
    </row>
    <row r="109" spans="1:14" ht="13.5" thickBot="1" x14ac:dyDescent="0.25"/>
    <row r="110" spans="1:14" s="167" customFormat="1" x14ac:dyDescent="0.2">
      <c r="A110" s="185" t="s">
        <v>117</v>
      </c>
      <c r="B110" s="160"/>
      <c r="C110" s="160"/>
      <c r="D110" s="160"/>
      <c r="E110" s="160"/>
      <c r="F110" s="161"/>
      <c r="G110" s="162"/>
      <c r="H110" s="162"/>
      <c r="I110" s="162"/>
      <c r="J110" s="162"/>
      <c r="K110" s="162"/>
      <c r="L110" s="162"/>
      <c r="M110" s="4"/>
      <c r="N110" s="3"/>
    </row>
    <row r="111" spans="1:14" x14ac:dyDescent="0.2">
      <c r="A111" s="163" t="s">
        <v>118</v>
      </c>
      <c r="B111" s="164"/>
      <c r="C111" s="164"/>
      <c r="D111" s="164"/>
      <c r="E111" s="164"/>
      <c r="F111" s="165"/>
      <c r="G111" s="166"/>
      <c r="H111" s="166"/>
      <c r="I111" s="166"/>
      <c r="J111" s="166"/>
      <c r="K111" s="166"/>
      <c r="L111" s="166"/>
      <c r="M111" s="6"/>
      <c r="N111" s="5"/>
    </row>
    <row r="112" spans="1:14" ht="33.75" x14ac:dyDescent="0.2">
      <c r="A112" s="186" t="s">
        <v>82</v>
      </c>
      <c r="B112" s="187"/>
      <c r="C112" s="188"/>
      <c r="D112" s="188"/>
      <c r="E112" s="188"/>
      <c r="F112" s="188"/>
      <c r="G112" s="170" t="str">
        <f>G$18</f>
        <v>TOTAL
PROGRAM
BUDGET</v>
      </c>
      <c r="H112" s="170" t="str">
        <f t="shared" ref="H112:N112" si="64">H$18</f>
        <v>HSGP GRANT
BUDGET</v>
      </c>
      <c r="I112" s="170" t="str">
        <f t="shared" si="64"/>
        <v>NON-CITY PROGRAM BUDGET</v>
      </c>
      <c r="J112" s="170" t="str">
        <f t="shared" si="64"/>
        <v>HSGP
MID-YEAR EXPEND.</v>
      </c>
      <c r="K112" s="170" t="str">
        <f t="shared" si="64"/>
        <v>HSGP
YEAR-END EXPEND.</v>
      </c>
      <c r="L112" s="170" t="str">
        <f t="shared" si="64"/>
        <v>HSGP TOTAL EXPEND.</v>
      </c>
      <c r="M112" s="18" t="str">
        <f t="shared" si="64"/>
        <v>HSGP PERCENT EXPENDED</v>
      </c>
      <c r="N112" s="93" t="str">
        <f t="shared" si="64"/>
        <v>YEAR-END
 TOTAL PROGRAM EXPEND.</v>
      </c>
    </row>
    <row r="113" spans="1:14" x14ac:dyDescent="0.2">
      <c r="A113" s="216"/>
      <c r="B113" s="208"/>
      <c r="C113" s="103"/>
      <c r="D113" s="209"/>
      <c r="E113" s="210"/>
      <c r="F113" s="193"/>
      <c r="G113" s="99">
        <v>0</v>
      </c>
      <c r="H113" s="99">
        <v>0</v>
      </c>
      <c r="I113" s="64">
        <f t="shared" ref="I113:I115" si="65">G113-H113</f>
        <v>0</v>
      </c>
      <c r="J113" s="178">
        <v>0</v>
      </c>
      <c r="K113" s="178">
        <v>0</v>
      </c>
      <c r="L113" s="64">
        <f t="shared" ref="L113:L115" si="66">SUM(J113:K113)</f>
        <v>0</v>
      </c>
      <c r="M113" s="12" t="str">
        <f t="shared" ref="M113:M115" si="67">IFERROR(L113/H113,"N/A")</f>
        <v>N/A</v>
      </c>
      <c r="N113" s="196">
        <v>0</v>
      </c>
    </row>
    <row r="114" spans="1:14" x14ac:dyDescent="0.2">
      <c r="A114" s="212"/>
      <c r="B114" s="208"/>
      <c r="C114" s="103"/>
      <c r="D114" s="209"/>
      <c r="E114" s="210"/>
      <c r="F114" s="193"/>
      <c r="G114" s="99">
        <v>0</v>
      </c>
      <c r="H114" s="99">
        <v>0</v>
      </c>
      <c r="I114" s="64">
        <f t="shared" si="65"/>
        <v>0</v>
      </c>
      <c r="J114" s="178">
        <v>0</v>
      </c>
      <c r="K114" s="178">
        <v>0</v>
      </c>
      <c r="L114" s="64">
        <f t="shared" si="66"/>
        <v>0</v>
      </c>
      <c r="M114" s="12" t="str">
        <f t="shared" si="67"/>
        <v>N/A</v>
      </c>
      <c r="N114" s="196">
        <v>0</v>
      </c>
    </row>
    <row r="115" spans="1:14" x14ac:dyDescent="0.2">
      <c r="A115" s="212"/>
      <c r="B115" s="208"/>
      <c r="C115" s="104"/>
      <c r="D115" s="218"/>
      <c r="E115" s="219"/>
      <c r="F115" s="193"/>
      <c r="G115" s="99">
        <v>0</v>
      </c>
      <c r="H115" s="99">
        <v>0</v>
      </c>
      <c r="I115" s="64">
        <f t="shared" si="65"/>
        <v>0</v>
      </c>
      <c r="J115" s="178">
        <v>0</v>
      </c>
      <c r="K115" s="178">
        <v>0</v>
      </c>
      <c r="L115" s="64">
        <f t="shared" si="66"/>
        <v>0</v>
      </c>
      <c r="M115" s="12" t="str">
        <f t="shared" si="67"/>
        <v>N/A</v>
      </c>
      <c r="N115" s="196">
        <v>0</v>
      </c>
    </row>
    <row r="116" spans="1:14" ht="13.5" thickBot="1" x14ac:dyDescent="0.25">
      <c r="A116" s="137"/>
      <c r="B116" s="138"/>
      <c r="C116" s="204" t="s">
        <v>119</v>
      </c>
      <c r="D116" s="205"/>
      <c r="E116" s="205"/>
      <c r="F116" s="206"/>
      <c r="G116" s="69">
        <f t="shared" ref="G116:L116" si="68">SUM(G113:G115)</f>
        <v>0</v>
      </c>
      <c r="H116" s="69">
        <f t="shared" si="68"/>
        <v>0</v>
      </c>
      <c r="I116" s="69">
        <f t="shared" si="68"/>
        <v>0</v>
      </c>
      <c r="J116" s="69">
        <f t="shared" si="68"/>
        <v>0</v>
      </c>
      <c r="K116" s="69">
        <f t="shared" si="68"/>
        <v>0</v>
      </c>
      <c r="L116" s="69">
        <f t="shared" si="68"/>
        <v>0</v>
      </c>
      <c r="M116" s="19" t="str">
        <f>IFERROR(L116/H116,"N/A")</f>
        <v>N/A</v>
      </c>
      <c r="N116" s="70">
        <f>SUM(N113:N115)</f>
        <v>0</v>
      </c>
    </row>
    <row r="117" spans="1:14" ht="13.5" thickBot="1" x14ac:dyDescent="0.25"/>
    <row r="118" spans="1:14" s="167" customFormat="1" x14ac:dyDescent="0.2">
      <c r="A118" s="185" t="s">
        <v>120</v>
      </c>
      <c r="B118" s="160"/>
      <c r="C118" s="160"/>
      <c r="D118" s="160"/>
      <c r="E118" s="160"/>
      <c r="F118" s="161"/>
      <c r="G118" s="162"/>
      <c r="H118" s="162"/>
      <c r="I118" s="162"/>
      <c r="J118" s="162"/>
      <c r="K118" s="162"/>
      <c r="L118" s="162"/>
      <c r="M118" s="4"/>
      <c r="N118" s="3"/>
    </row>
    <row r="119" spans="1:14" s="167" customFormat="1" ht="11.25" x14ac:dyDescent="0.2">
      <c r="A119" s="163" t="s">
        <v>121</v>
      </c>
      <c r="B119" s="220"/>
      <c r="C119" s="220"/>
      <c r="D119" s="220"/>
      <c r="E119" s="220"/>
      <c r="F119" s="165"/>
      <c r="G119" s="165"/>
      <c r="H119" s="165"/>
      <c r="I119" s="165"/>
      <c r="J119" s="165"/>
      <c r="K119" s="165"/>
      <c r="L119" s="165"/>
      <c r="M119" s="56"/>
      <c r="N119" s="221"/>
    </row>
    <row r="120" spans="1:14" s="167" customFormat="1" ht="11.25" x14ac:dyDescent="0.2">
      <c r="A120" s="222" t="s">
        <v>122</v>
      </c>
      <c r="B120" s="220"/>
      <c r="C120" s="220"/>
      <c r="D120" s="220"/>
      <c r="E120" s="220"/>
      <c r="F120" s="165"/>
      <c r="G120" s="165"/>
      <c r="H120" s="165"/>
      <c r="I120" s="165"/>
      <c r="J120" s="165"/>
      <c r="K120" s="165"/>
      <c r="L120" s="165"/>
      <c r="M120" s="56"/>
      <c r="N120" s="221"/>
    </row>
    <row r="121" spans="1:14" s="167" customFormat="1" ht="12" x14ac:dyDescent="0.2">
      <c r="A121" s="223" t="s">
        <v>123</v>
      </c>
      <c r="B121" s="220"/>
      <c r="C121" s="220"/>
      <c r="D121" s="220"/>
      <c r="E121" s="220"/>
      <c r="F121" s="220"/>
      <c r="G121" s="20"/>
      <c r="H121" s="20"/>
      <c r="I121" s="20"/>
      <c r="J121" s="20"/>
      <c r="K121" s="20"/>
      <c r="L121" s="20"/>
      <c r="M121" s="21"/>
      <c r="N121" s="22"/>
    </row>
    <row r="122" spans="1:14" ht="36.75" customHeight="1" thickBot="1" x14ac:dyDescent="0.25">
      <c r="A122" s="186" t="s">
        <v>82</v>
      </c>
      <c r="B122" s="187"/>
      <c r="C122" s="188"/>
      <c r="D122" s="188"/>
      <c r="E122" s="188"/>
      <c r="F122" s="188"/>
      <c r="G122" s="170" t="str">
        <f>G$18</f>
        <v>TOTAL
PROGRAM
BUDGET</v>
      </c>
      <c r="H122" s="170" t="str">
        <f t="shared" ref="H122:N122" si="69">H$18</f>
        <v>HSGP GRANT
BUDGET</v>
      </c>
      <c r="I122" s="170" t="str">
        <f t="shared" si="69"/>
        <v>NON-CITY PROGRAM BUDGET</v>
      </c>
      <c r="J122" s="170" t="str">
        <f t="shared" si="69"/>
        <v>HSGP
MID-YEAR EXPEND.</v>
      </c>
      <c r="K122" s="170" t="str">
        <f t="shared" si="69"/>
        <v>HSGP
YEAR-END EXPEND.</v>
      </c>
      <c r="L122" s="170" t="str">
        <f t="shared" si="69"/>
        <v>HSGP TOTAL EXPEND.</v>
      </c>
      <c r="M122" s="18" t="str">
        <f t="shared" si="69"/>
        <v>HSGP PERCENT EXPENDED</v>
      </c>
      <c r="N122" s="93" t="str">
        <f t="shared" si="69"/>
        <v>YEAR-END
 TOTAL PROGRAM EXPEND.</v>
      </c>
    </row>
    <row r="123" spans="1:14" ht="13.5" thickBot="1" x14ac:dyDescent="0.25">
      <c r="A123" s="224" t="s">
        <v>124</v>
      </c>
      <c r="B123" s="225"/>
      <c r="C123" s="105"/>
      <c r="D123" s="193"/>
      <c r="E123" s="226" t="s">
        <v>125</v>
      </c>
      <c r="F123" s="227">
        <f>IFERROR(H125/H127,"N/A")</f>
        <v>8.8838195661983588E-2</v>
      </c>
      <c r="G123" s="100">
        <v>84376</v>
      </c>
      <c r="H123" s="100">
        <v>49809</v>
      </c>
      <c r="I123" s="71">
        <f>G123-H123</f>
        <v>34567</v>
      </c>
      <c r="J123" s="214">
        <f>17339+7566</f>
        <v>24905</v>
      </c>
      <c r="K123" s="214">
        <f>49809-J123</f>
        <v>24904</v>
      </c>
      <c r="L123" s="64">
        <f>SUM(J123:K123)</f>
        <v>49809</v>
      </c>
      <c r="M123" s="12">
        <f>IFERROR(L123/H123,"N/A")</f>
        <v>1</v>
      </c>
      <c r="N123" s="196">
        <v>92247</v>
      </c>
    </row>
    <row r="124" spans="1:14" ht="13.5" thickBot="1" x14ac:dyDescent="0.25">
      <c r="A124" s="228"/>
      <c r="B124" s="225"/>
      <c r="C124" s="106"/>
      <c r="D124" s="193"/>
      <c r="E124" s="226"/>
      <c r="F124" s="227"/>
      <c r="G124" s="100">
        <v>0</v>
      </c>
      <c r="H124" s="100">
        <v>0</v>
      </c>
      <c r="I124" s="71">
        <f t="shared" ref="I124" si="70">G124-H124</f>
        <v>0</v>
      </c>
      <c r="J124" s="214">
        <v>0</v>
      </c>
      <c r="K124" s="214">
        <v>0</v>
      </c>
      <c r="L124" s="71">
        <f>SUM(J124:K124)</f>
        <v>0</v>
      </c>
      <c r="M124" s="17" t="str">
        <f>IFERROR(L124/H124,"N/A")</f>
        <v>N/A</v>
      </c>
      <c r="N124" s="229">
        <v>0</v>
      </c>
    </row>
    <row r="125" spans="1:14" ht="13.5" thickBot="1" x14ac:dyDescent="0.25">
      <c r="A125" s="137"/>
      <c r="B125" s="138"/>
      <c r="C125" s="204" t="s">
        <v>126</v>
      </c>
      <c r="D125" s="205"/>
      <c r="E125" s="205"/>
      <c r="F125" s="230"/>
      <c r="G125" s="72">
        <f>SUM(G123:G124)</f>
        <v>84376</v>
      </c>
      <c r="H125" s="72">
        <f>SUM(H123:H124)</f>
        <v>49809</v>
      </c>
      <c r="I125" s="72">
        <f>SUM(I123:I124)</f>
        <v>34567</v>
      </c>
      <c r="J125" s="72">
        <f t="shared" ref="J125:L125" si="71">SUM(J123:J124)</f>
        <v>24905</v>
      </c>
      <c r="K125" s="72">
        <f t="shared" si="71"/>
        <v>24904</v>
      </c>
      <c r="L125" s="72">
        <f t="shared" si="71"/>
        <v>49809</v>
      </c>
      <c r="M125" s="63">
        <f>IFERROR(L125/H125,"N/A")</f>
        <v>1</v>
      </c>
      <c r="N125" s="73">
        <f>SUM(N123:N124)</f>
        <v>92247</v>
      </c>
    </row>
    <row r="126" spans="1:14" ht="13.5" thickBot="1" x14ac:dyDescent="0.25"/>
    <row r="127" spans="1:14" ht="15.75" thickBot="1" x14ac:dyDescent="0.3">
      <c r="A127" s="231"/>
      <c r="B127" s="232"/>
      <c r="C127" s="233" t="s">
        <v>127</v>
      </c>
      <c r="D127" s="232"/>
      <c r="E127" s="232"/>
      <c r="F127" s="234"/>
      <c r="G127" s="74">
        <f t="shared" ref="G127:L127" si="72">SUM(G125,G116,G108,G101,G81,G72,G61)</f>
        <v>971951</v>
      </c>
      <c r="H127" s="74">
        <f t="shared" si="72"/>
        <v>560671</v>
      </c>
      <c r="I127" s="74">
        <f t="shared" si="72"/>
        <v>412871</v>
      </c>
      <c r="J127" s="74">
        <f t="shared" si="72"/>
        <v>241551.96999999997</v>
      </c>
      <c r="K127" s="74">
        <f t="shared" si="72"/>
        <v>319119.03000000003</v>
      </c>
      <c r="L127" s="74">
        <f t="shared" si="72"/>
        <v>560671</v>
      </c>
      <c r="M127" s="2">
        <f>IFERROR(L127/H127,"N/A")</f>
        <v>1</v>
      </c>
      <c r="N127" s="75">
        <f>SUM(N125,N116,N108,N101,N81,N72,N61)</f>
        <v>1065542</v>
      </c>
    </row>
    <row r="128" spans="1:14" ht="13.5" thickBot="1" x14ac:dyDescent="0.25">
      <c r="A128" s="115"/>
      <c r="F128" s="31"/>
    </row>
    <row r="129" spans="1:14" x14ac:dyDescent="0.2">
      <c r="A129" s="340" t="s">
        <v>128</v>
      </c>
      <c r="B129" s="341"/>
      <c r="C129" s="341"/>
      <c r="D129" s="341"/>
      <c r="E129" s="341"/>
      <c r="F129" s="341"/>
      <c r="G129" s="341"/>
      <c r="H129" s="341"/>
      <c r="I129" s="341"/>
      <c r="J129" s="341"/>
      <c r="K129" s="341"/>
      <c r="L129" s="341"/>
      <c r="M129" s="341"/>
      <c r="N129" s="342"/>
    </row>
    <row r="130" spans="1:14" ht="13.5" thickBot="1" x14ac:dyDescent="0.25">
      <c r="A130" s="343"/>
      <c r="B130" s="344"/>
      <c r="C130" s="344"/>
      <c r="D130" s="344"/>
      <c r="E130" s="344"/>
      <c r="F130" s="344"/>
      <c r="G130" s="344"/>
      <c r="H130" s="344"/>
      <c r="I130" s="344"/>
      <c r="J130" s="344"/>
      <c r="K130" s="344"/>
      <c r="L130" s="344"/>
      <c r="M130" s="344"/>
      <c r="N130" s="345"/>
    </row>
  </sheetData>
  <sheetProtection algorithmName="SHA-512" hashValue="Mb3qehPHn466wji0rCD32wIMDOWo1V5lDyhDRQkss9Su+6Vf+dNhHOl2AEbTk7TsjZCXTIgGr5yYuoi4/WV13g==" saltValue="Qqb6NufZvS0BfXocB8dagA==" spinCount="100000" sheet="1" objects="1" scenarios="1"/>
  <mergeCells count="8">
    <mergeCell ref="A15:N15"/>
    <mergeCell ref="A129:N130"/>
    <mergeCell ref="A5:N5"/>
    <mergeCell ref="A6:N6"/>
    <mergeCell ref="A10:N10"/>
    <mergeCell ref="A13:N13"/>
    <mergeCell ref="A14:N14"/>
    <mergeCell ref="A11:N11"/>
  </mergeCells>
  <dataValidations count="5">
    <dataValidation type="list" allowBlank="1" showInputMessage="1" showErrorMessage="1" sqref="B23" xr:uid="{00000000-0002-0000-0100-000001000000}">
      <formula1>$A$40:$A$42</formula1>
    </dataValidation>
    <dataValidation type="decimal" errorStyle="warning" allowBlank="1" showInputMessage="1" showErrorMessage="1" errorTitle="VARIANCE REPORT REQUIRED" error="Percentages below 90% or over 110% require a brief explanation in the VARIANCE REPORT/NOTES column." sqref="M19:M26 M39:M41" xr:uid="{00000000-0002-0000-0100-000002000000}">
      <formula1>0.9</formula1>
      <formula2>1.1</formula2>
    </dataValidation>
    <dataValidation type="decimal" errorStyle="warning" allowBlank="1" showErrorMessage="1" errorTitle="DOCUMENTATION REQUIRED" error="Rates between 10-15%: please provide either Cost Allocation Plan OR Federally-approved Indirect Cost Rate_x000a__x000a_Rates over 15%: please provide Federally-approved Indirect Cost Rate" sqref="F123:F124" xr:uid="{00000000-0002-0000-0100-000003000000}">
      <formula1>0</formula1>
      <formula2>0.15</formula2>
    </dataValidation>
    <dataValidation type="list" allowBlank="1" showInputMessage="1" showErrorMessage="1" sqref="C48:C60" xr:uid="{00000000-0002-0000-0100-000004000000}">
      <formula1>$C$19:$C$21</formula1>
    </dataValidation>
    <dataValidation type="decimal" errorStyle="warning" allowBlank="1" showInputMessage="1" showErrorMessage="1" errorTitle="VARIANCE REPORT REQUIRED" error="Percentages below 90% or above 110% require an explanation in the VARIANCE REPORT/NOTES column." sqref="M48:M60" xr:uid="{00000000-0002-0000-0100-000005000000}">
      <formula1>0.9</formula1>
      <formula2>1.1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92D050"/>
    <pageSetUpPr fitToPage="1"/>
  </sheetPr>
  <dimension ref="A1:H22"/>
  <sheetViews>
    <sheetView topLeftCell="B1" zoomScaleNormal="100" zoomScaleSheetLayoutView="100" workbookViewId="0">
      <selection activeCell="B8" sqref="B8"/>
    </sheetView>
  </sheetViews>
  <sheetFormatPr defaultColWidth="11.42578125" defaultRowHeight="12" x14ac:dyDescent="0.2"/>
  <cols>
    <col min="1" max="1" width="9.85546875" style="32" hidden="1" customWidth="1"/>
    <col min="2" max="2" width="48.85546875" style="32" customWidth="1"/>
    <col min="3" max="3" width="15.42578125" style="31" customWidth="1"/>
    <col min="4" max="4" width="19.140625" style="31" customWidth="1"/>
    <col min="5" max="5" width="19.7109375" style="31" customWidth="1"/>
    <col min="6" max="6" width="19.42578125" style="31" customWidth="1"/>
    <col min="7" max="7" width="31.42578125" style="31" customWidth="1"/>
    <col min="8" max="16384" width="11.42578125" style="32"/>
  </cols>
  <sheetData>
    <row r="1" spans="1:7" ht="18" x14ac:dyDescent="0.25">
      <c r="A1" s="16"/>
      <c r="B1" s="23" t="s">
        <v>14</v>
      </c>
      <c r="C1" s="32"/>
      <c r="D1" s="32"/>
      <c r="E1" s="32"/>
      <c r="F1" s="32"/>
      <c r="G1" s="32"/>
    </row>
    <row r="2" spans="1:7" ht="18" x14ac:dyDescent="0.25">
      <c r="A2" s="16"/>
      <c r="B2" s="23" t="s">
        <v>129</v>
      </c>
      <c r="C2" s="32"/>
      <c r="D2" s="32"/>
      <c r="E2" s="32"/>
      <c r="F2" s="32"/>
      <c r="G2" s="32"/>
    </row>
    <row r="3" spans="1:7" ht="36" customHeight="1" x14ac:dyDescent="0.2">
      <c r="A3" s="98"/>
      <c r="B3" s="359" t="s">
        <v>130</v>
      </c>
      <c r="C3" s="360"/>
      <c r="D3" s="360"/>
      <c r="E3" s="360"/>
      <c r="F3" s="361"/>
      <c r="G3" s="32"/>
    </row>
    <row r="4" spans="1:7" ht="18" x14ac:dyDescent="0.25">
      <c r="A4" s="16"/>
      <c r="B4" s="23"/>
      <c r="C4" s="32"/>
      <c r="D4" s="32"/>
      <c r="E4" s="32"/>
      <c r="F4" s="32"/>
      <c r="G4" s="32"/>
    </row>
    <row r="5" spans="1:7" ht="22.5" customHeight="1" x14ac:dyDescent="0.25">
      <c r="A5" s="16"/>
      <c r="B5" s="77" t="str">
        <f>'FISCAL REPORT'!B19</f>
        <v>WISE &amp; Healthy Aging</v>
      </c>
      <c r="C5" s="77"/>
      <c r="D5" s="78"/>
      <c r="E5" s="78"/>
      <c r="F5" s="78"/>
      <c r="G5" s="32"/>
    </row>
    <row r="6" spans="1:7" ht="22.5" customHeight="1" x14ac:dyDescent="0.25">
      <c r="A6" s="16"/>
      <c r="B6" s="77" t="str">
        <f>'FISCAL REPORT'!B20</f>
        <v>Care Management</v>
      </c>
      <c r="C6" s="79"/>
      <c r="D6" s="80"/>
      <c r="E6" s="80"/>
      <c r="F6" s="80"/>
      <c r="G6" s="32"/>
    </row>
    <row r="7" spans="1:7" ht="8.25" customHeight="1" thickBot="1" x14ac:dyDescent="0.25">
      <c r="A7" s="16"/>
      <c r="B7" s="24"/>
      <c r="C7" s="32"/>
      <c r="D7" s="32"/>
      <c r="E7" s="32"/>
      <c r="F7" s="32"/>
      <c r="G7" s="32"/>
    </row>
    <row r="8" spans="1:7" ht="52.5" customHeight="1" x14ac:dyDescent="0.55000000000000004">
      <c r="B8" s="34" t="s">
        <v>131</v>
      </c>
      <c r="C8" s="35" t="s">
        <v>132</v>
      </c>
      <c r="D8" s="35"/>
      <c r="E8" s="35" t="s">
        <v>133</v>
      </c>
      <c r="F8" s="36"/>
      <c r="G8" s="32"/>
    </row>
    <row r="9" spans="1:7" ht="14.25" x14ac:dyDescent="0.2">
      <c r="B9" s="37" t="s">
        <v>134</v>
      </c>
      <c r="C9" s="97">
        <f>'PARTICIPANT DEMOGRAPHICS'!B9</f>
        <v>380</v>
      </c>
      <c r="D9" s="97"/>
      <c r="E9" s="97">
        <f>'PARTICIPANT DEMOGRAPHICS'!D9</f>
        <v>400</v>
      </c>
      <c r="F9" s="40"/>
      <c r="G9" s="32"/>
    </row>
    <row r="10" spans="1:7" ht="14.25" x14ac:dyDescent="0.2">
      <c r="B10" s="41" t="s">
        <v>135</v>
      </c>
      <c r="C10" s="97">
        <f>'PARTICIPANT DEMOGRAPHICS'!B10</f>
        <v>323</v>
      </c>
      <c r="D10" s="39"/>
      <c r="E10" s="97">
        <f>'PARTICIPANT DEMOGRAPHICS'!D10</f>
        <v>300</v>
      </c>
      <c r="F10" s="40"/>
      <c r="G10" s="32"/>
    </row>
    <row r="11" spans="1:7" ht="14.25" x14ac:dyDescent="0.2">
      <c r="B11" s="37" t="s">
        <v>136</v>
      </c>
      <c r="C11" s="57">
        <f>IFERROR(C10/C9, "N/A")</f>
        <v>0.85</v>
      </c>
      <c r="D11" s="43"/>
      <c r="E11" s="86">
        <f>IFERROR(E10/E9, "N/A")</f>
        <v>0.75</v>
      </c>
      <c r="F11" s="40"/>
      <c r="G11" s="32"/>
    </row>
    <row r="12" spans="1:7" ht="14.25" x14ac:dyDescent="0.2">
      <c r="B12" s="37"/>
      <c r="C12" s="42"/>
      <c r="D12" s="43"/>
      <c r="E12" s="38"/>
      <c r="F12" s="40"/>
      <c r="G12" s="32"/>
    </row>
    <row r="13" spans="1:7" ht="63.75" customHeight="1" x14ac:dyDescent="0.55000000000000004">
      <c r="B13" s="44" t="s">
        <v>137</v>
      </c>
      <c r="C13" s="110" t="s">
        <v>138</v>
      </c>
      <c r="D13" s="110" t="s">
        <v>139</v>
      </c>
      <c r="E13" s="110" t="s">
        <v>140</v>
      </c>
      <c r="F13" s="111" t="s">
        <v>141</v>
      </c>
      <c r="G13" s="32"/>
    </row>
    <row r="14" spans="1:7" ht="16.5" customHeight="1" x14ac:dyDescent="0.2">
      <c r="B14" s="37" t="s">
        <v>142</v>
      </c>
      <c r="C14" s="81">
        <f>'FISCAL REPORT'!G26</f>
        <v>971951</v>
      </c>
      <c r="D14" s="81">
        <f>'FISCAL REPORT'!H26</f>
        <v>560671</v>
      </c>
      <c r="E14" s="81">
        <f>'FISCAL REPORT'!N26</f>
        <v>1065542</v>
      </c>
      <c r="F14" s="82">
        <f>'FISCAL REPORT'!L26</f>
        <v>560671</v>
      </c>
      <c r="G14" s="32"/>
    </row>
    <row r="15" spans="1:7" ht="16.5" customHeight="1" x14ac:dyDescent="0.2">
      <c r="B15" s="37"/>
      <c r="C15" s="45"/>
      <c r="D15" s="45"/>
      <c r="E15" s="45"/>
      <c r="F15" s="46"/>
      <c r="G15" s="32"/>
    </row>
    <row r="16" spans="1:7" ht="19.5" x14ac:dyDescent="0.55000000000000004">
      <c r="B16" s="44" t="s">
        <v>143</v>
      </c>
      <c r="C16" s="357" t="s">
        <v>144</v>
      </c>
      <c r="D16" s="357"/>
      <c r="E16" s="357" t="s">
        <v>145</v>
      </c>
      <c r="F16" s="358"/>
      <c r="G16" s="32"/>
    </row>
    <row r="17" spans="2:8" ht="14.25" x14ac:dyDescent="0.2">
      <c r="B17" s="37" t="s">
        <v>146</v>
      </c>
      <c r="C17" s="83">
        <f>IFERROR(C14*C11,"N/A")</f>
        <v>826158.35</v>
      </c>
      <c r="D17" s="47">
        <f>IFERROR(C17/C14,"N/A")</f>
        <v>0.85</v>
      </c>
      <c r="E17" s="84">
        <f>IFERROR(E14*E11,"N/A")</f>
        <v>799156.5</v>
      </c>
      <c r="F17" s="49">
        <f>IFERROR(E17/E14,"N/A")</f>
        <v>0.75</v>
      </c>
      <c r="G17" s="32"/>
    </row>
    <row r="18" spans="2:8" ht="14.25" x14ac:dyDescent="0.2">
      <c r="B18" s="37" t="s">
        <v>147</v>
      </c>
      <c r="C18" s="83">
        <f>D14</f>
        <v>560671</v>
      </c>
      <c r="D18" s="47">
        <f>IFERROR(C18/C17, "N/A")</f>
        <v>0.67864834870942115</v>
      </c>
      <c r="E18" s="84">
        <f>F14</f>
        <v>560671</v>
      </c>
      <c r="F18" s="49">
        <f>IFERROR(E18/E17, "N/A")</f>
        <v>0.70157847680648289</v>
      </c>
      <c r="G18" s="32"/>
      <c r="H18" s="33"/>
    </row>
    <row r="19" spans="2:8" ht="15" thickBot="1" x14ac:dyDescent="0.25">
      <c r="B19" s="37"/>
      <c r="C19" s="25"/>
      <c r="D19" s="47"/>
      <c r="E19" s="48"/>
      <c r="F19" s="49"/>
      <c r="G19" s="32"/>
    </row>
    <row r="20" spans="2:8" ht="15.75" thickBot="1" x14ac:dyDescent="0.3">
      <c r="B20" s="50" t="s">
        <v>148</v>
      </c>
      <c r="C20" s="85">
        <f>IFERROR(C17-C18,"N/A")</f>
        <v>265487.34999999998</v>
      </c>
      <c r="D20" s="51">
        <f>IFERROR(C20/C17, "N/A")</f>
        <v>0.32135165129057885</v>
      </c>
      <c r="E20" s="85">
        <f>IFERROR(E17-E18, "N/A")</f>
        <v>238485.5</v>
      </c>
      <c r="F20" s="52">
        <f>IFERROR(E20/E17, "N/A")</f>
        <v>0.29842152319351717</v>
      </c>
      <c r="G20" s="32"/>
    </row>
    <row r="21" spans="2:8" ht="30.75" thickBot="1" x14ac:dyDescent="0.3">
      <c r="B21" s="37"/>
      <c r="C21" s="53"/>
      <c r="D21" s="54" t="s">
        <v>149</v>
      </c>
      <c r="E21" s="39"/>
      <c r="F21" s="54" t="s">
        <v>149</v>
      </c>
    </row>
    <row r="22" spans="2:8" s="1" customFormat="1" ht="12.75" x14ac:dyDescent="0.2">
      <c r="B22" s="32"/>
      <c r="C22" s="31"/>
      <c r="D22" s="31"/>
      <c r="E22" s="31"/>
      <c r="F22" s="31"/>
      <c r="G22" s="31"/>
    </row>
  </sheetData>
  <sheetProtection algorithmName="SHA-512" hashValue="swrbI/PbCc1pIhQoE9QTGHp6kcD+QBiAcJGg05dQhIohXINjCNoi6IxdBse/JuMpVoJlmXxgYoi6g3Twx7hLug==" saltValue="HMeOWASyJgfYo3G5n08cdg==" spinCount="100000" sheet="1" objects="1" scenarios="1"/>
  <mergeCells count="3">
    <mergeCell ref="C16:D16"/>
    <mergeCell ref="E16:F16"/>
    <mergeCell ref="B3:F3"/>
  </mergeCells>
  <phoneticPr fontId="11" type="noConversion"/>
  <pageMargins left="1" right="1" top="0.81" bottom="0.5" header="0.5" footer="0.5"/>
  <pageSetup scale="41" orientation="portrait" horizontalDpi="4294967295" verticalDpi="4294967295"/>
  <headerFooter alignWithMargins="0">
    <oddHeader>&amp;C&amp;"Arial,Bold"&amp;12Cash Match Calculation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69"/>
  <sheetViews>
    <sheetView zoomScaleNormal="100" workbookViewId="0">
      <selection activeCell="D10" sqref="D10"/>
    </sheetView>
  </sheetViews>
  <sheetFormatPr defaultColWidth="8.85546875" defaultRowHeight="12.75" x14ac:dyDescent="0.2"/>
  <cols>
    <col min="1" max="1" width="53.7109375" style="270" customWidth="1"/>
    <col min="2" max="8" width="19.7109375" style="271" customWidth="1"/>
    <col min="9" max="11" width="17.28515625" style="239" customWidth="1"/>
    <col min="12" max="12" width="17.140625" style="121" customWidth="1"/>
    <col min="13" max="13" width="14.5703125" style="121" bestFit="1" customWidth="1"/>
    <col min="14" max="14" width="16.85546875" style="121" bestFit="1" customWidth="1"/>
    <col min="15" max="16384" width="8.85546875" style="121"/>
  </cols>
  <sheetData>
    <row r="1" spans="1:11" ht="18" x14ac:dyDescent="0.2">
      <c r="A1" s="235" t="s">
        <v>14</v>
      </c>
      <c r="B1" s="236"/>
      <c r="C1" s="237"/>
      <c r="D1" s="238"/>
      <c r="E1" s="238"/>
      <c r="F1" s="238"/>
      <c r="G1" s="238"/>
      <c r="H1" s="238"/>
    </row>
    <row r="2" spans="1:11" ht="18" x14ac:dyDescent="0.2">
      <c r="A2" s="235" t="s">
        <v>150</v>
      </c>
      <c r="B2" s="240"/>
      <c r="C2" s="240"/>
      <c r="D2" s="241"/>
      <c r="E2" s="241"/>
      <c r="F2" s="241"/>
      <c r="G2" s="241"/>
      <c r="H2" s="241"/>
      <c r="I2" s="240"/>
      <c r="J2" s="240"/>
      <c r="K2" s="240"/>
    </row>
    <row r="3" spans="1:11" ht="18" x14ac:dyDescent="0.2">
      <c r="A3" s="235"/>
      <c r="B3" s="240"/>
      <c r="C3" s="240"/>
      <c r="D3" s="241"/>
      <c r="E3" s="241"/>
      <c r="F3" s="241"/>
      <c r="G3" s="241"/>
      <c r="H3" s="241"/>
      <c r="I3" s="240"/>
      <c r="J3" s="240"/>
      <c r="K3" s="240"/>
    </row>
    <row r="4" spans="1:11" ht="18" x14ac:dyDescent="0.2">
      <c r="A4" s="242" t="s">
        <v>151</v>
      </c>
      <c r="B4" s="240"/>
      <c r="C4" s="240"/>
      <c r="D4" s="241"/>
      <c r="E4" s="241"/>
      <c r="F4" s="241"/>
      <c r="G4" s="241"/>
      <c r="H4" s="241"/>
      <c r="I4" s="240"/>
      <c r="J4" s="240"/>
      <c r="K4" s="240"/>
    </row>
    <row r="5" spans="1:11" ht="14.25" customHeight="1" x14ac:dyDescent="0.2">
      <c r="A5" s="243" t="s">
        <v>152</v>
      </c>
      <c r="B5" s="244"/>
      <c r="C5" s="244"/>
      <c r="D5" s="244"/>
      <c r="E5" s="244"/>
      <c r="F5" s="244"/>
      <c r="G5" s="245"/>
      <c r="H5" s="244"/>
      <c r="I5" s="244"/>
      <c r="J5" s="244"/>
    </row>
    <row r="6" spans="1:11" ht="14.25" customHeight="1" x14ac:dyDescent="0.2">
      <c r="A6" s="243" t="s">
        <v>153</v>
      </c>
      <c r="B6" s="244"/>
      <c r="C6" s="244"/>
      <c r="D6" s="244"/>
      <c r="E6" s="244"/>
      <c r="F6" s="244"/>
      <c r="G6" s="245"/>
      <c r="H6" s="244"/>
      <c r="I6" s="244"/>
      <c r="J6" s="244"/>
    </row>
    <row r="7" spans="1:11" ht="14.25" customHeight="1" x14ac:dyDescent="0.2">
      <c r="A7" s="246"/>
      <c r="B7" s="244"/>
      <c r="C7" s="244"/>
      <c r="D7" s="244"/>
      <c r="E7" s="244"/>
      <c r="F7" s="244"/>
      <c r="G7" s="245"/>
      <c r="H7" s="244"/>
      <c r="I7" s="244"/>
      <c r="J7" s="244"/>
    </row>
    <row r="8" spans="1:11" s="243" customFormat="1" ht="30" x14ac:dyDescent="0.2">
      <c r="A8" s="247" t="s">
        <v>154</v>
      </c>
      <c r="B8" s="248" t="s">
        <v>155</v>
      </c>
      <c r="C8" s="248" t="s">
        <v>156</v>
      </c>
      <c r="D8" s="248" t="s">
        <v>157</v>
      </c>
      <c r="E8" s="246"/>
      <c r="F8" s="246"/>
      <c r="H8" s="246"/>
      <c r="J8" s="246"/>
      <c r="K8" s="246"/>
    </row>
    <row r="9" spans="1:11" s="243" customFormat="1" ht="14.25" x14ac:dyDescent="0.2">
      <c r="A9" s="249" t="s">
        <v>158</v>
      </c>
      <c r="B9" s="250">
        <v>380</v>
      </c>
      <c r="C9" s="251">
        <v>385</v>
      </c>
      <c r="D9" s="251">
        <v>400</v>
      </c>
      <c r="E9" s="246"/>
      <c r="F9" s="246"/>
      <c r="G9" s="246"/>
      <c r="H9" s="246"/>
      <c r="J9" s="246"/>
      <c r="K9" s="246"/>
    </row>
    <row r="10" spans="1:11" s="243" customFormat="1" ht="14.25" x14ac:dyDescent="0.2">
      <c r="A10" s="249" t="s">
        <v>159</v>
      </c>
      <c r="B10" s="250">
        <v>323</v>
      </c>
      <c r="C10" s="251">
        <v>221</v>
      </c>
      <c r="D10" s="251">
        <v>300</v>
      </c>
      <c r="E10" s="246"/>
      <c r="F10" s="246"/>
      <c r="G10" s="246"/>
      <c r="H10" s="246"/>
      <c r="J10" s="246"/>
      <c r="K10" s="246"/>
    </row>
    <row r="11" spans="1:11" s="243" customFormat="1" ht="14.25" x14ac:dyDescent="0.2">
      <c r="A11" s="249" t="s">
        <v>160</v>
      </c>
      <c r="B11" s="246"/>
      <c r="C11" s="251">
        <v>177</v>
      </c>
      <c r="D11" s="251">
        <v>235</v>
      </c>
      <c r="E11" s="246"/>
      <c r="F11" s="246"/>
      <c r="G11" s="246"/>
      <c r="H11" s="246"/>
      <c r="J11" s="246"/>
      <c r="K11" s="246"/>
    </row>
    <row r="12" spans="1:11" s="243" customFormat="1" ht="14.25" x14ac:dyDescent="0.2">
      <c r="A12" s="249" t="s">
        <v>161</v>
      </c>
      <c r="B12" s="246"/>
      <c r="C12" s="251">
        <v>0</v>
      </c>
      <c r="D12" s="251">
        <v>0</v>
      </c>
      <c r="E12" s="246"/>
      <c r="F12" s="246"/>
      <c r="G12" s="246"/>
      <c r="H12" s="246"/>
      <c r="J12" s="246"/>
      <c r="K12" s="246"/>
    </row>
    <row r="13" spans="1:11" s="243" customFormat="1" ht="14.25" x14ac:dyDescent="0.2">
      <c r="A13" s="249" t="s">
        <v>162</v>
      </c>
      <c r="B13" s="246"/>
      <c r="C13" s="251">
        <v>137</v>
      </c>
      <c r="D13" s="251">
        <v>184</v>
      </c>
      <c r="E13" s="246"/>
      <c r="F13" s="246"/>
      <c r="G13" s="246"/>
      <c r="H13" s="246"/>
      <c r="J13" s="246"/>
      <c r="K13" s="246"/>
    </row>
    <row r="14" spans="1:11" s="243" customFormat="1" ht="14.25" x14ac:dyDescent="0.2">
      <c r="A14" s="249" t="s">
        <v>163</v>
      </c>
      <c r="B14" s="246"/>
      <c r="C14" s="251">
        <v>11</v>
      </c>
      <c r="D14" s="251">
        <v>17</v>
      </c>
      <c r="E14" s="246"/>
      <c r="F14" s="246"/>
      <c r="G14" s="246"/>
      <c r="H14" s="246"/>
      <c r="J14" s="246"/>
      <c r="K14" s="246"/>
    </row>
    <row r="15" spans="1:11" s="243" customFormat="1" ht="14.25" x14ac:dyDescent="0.2">
      <c r="A15" s="249" t="s">
        <v>164</v>
      </c>
      <c r="B15" s="246"/>
      <c r="C15" s="251">
        <v>20</v>
      </c>
      <c r="D15" s="251">
        <v>28</v>
      </c>
      <c r="E15" s="246"/>
      <c r="F15" s="246"/>
      <c r="G15" s="246"/>
      <c r="H15" s="246"/>
      <c r="J15" s="246"/>
      <c r="K15" s="246"/>
    </row>
    <row r="16" spans="1:11" s="243" customFormat="1" ht="14.25" x14ac:dyDescent="0.2">
      <c r="A16" s="252"/>
      <c r="B16" s="253"/>
      <c r="C16" s="253"/>
      <c r="D16" s="253"/>
      <c r="F16" s="246"/>
      <c r="G16" s="246"/>
      <c r="H16" s="253"/>
      <c r="I16" s="253"/>
    </row>
    <row r="17" spans="1:11" s="243" customFormat="1" ht="14.25" x14ac:dyDescent="0.2">
      <c r="A17" s="252"/>
      <c r="B17" s="253"/>
      <c r="C17" s="253"/>
      <c r="D17" s="253"/>
      <c r="F17" s="246"/>
      <c r="G17" s="246"/>
      <c r="H17" s="253"/>
      <c r="I17" s="253"/>
    </row>
    <row r="18" spans="1:11" s="243" customFormat="1" ht="16.5" customHeight="1" x14ac:dyDescent="0.2">
      <c r="A18" s="369" t="s">
        <v>165</v>
      </c>
      <c r="B18" s="362" t="s">
        <v>156</v>
      </c>
      <c r="C18" s="363"/>
      <c r="D18" s="364"/>
      <c r="E18" s="362" t="s">
        <v>157</v>
      </c>
      <c r="F18" s="363"/>
      <c r="G18" s="364"/>
    </row>
    <row r="19" spans="1:11" s="243" customFormat="1" ht="45" x14ac:dyDescent="0.2">
      <c r="A19" s="369"/>
      <c r="B19" s="248" t="s">
        <v>166</v>
      </c>
      <c r="C19" s="248" t="s">
        <v>167</v>
      </c>
      <c r="D19" s="248" t="s">
        <v>168</v>
      </c>
      <c r="E19" s="248" t="s">
        <v>166</v>
      </c>
      <c r="F19" s="248" t="s">
        <v>167</v>
      </c>
      <c r="G19" s="248" t="s">
        <v>168</v>
      </c>
      <c r="H19" s="246"/>
    </row>
    <row r="20" spans="1:11" s="243" customFormat="1" ht="14.25" x14ac:dyDescent="0.2">
      <c r="A20" s="249" t="s">
        <v>169</v>
      </c>
      <c r="B20" s="251"/>
      <c r="C20" s="251"/>
      <c r="D20" s="251"/>
      <c r="E20" s="251"/>
      <c r="F20" s="251">
        <v>0</v>
      </c>
      <c r="G20" s="251"/>
      <c r="H20" s="246"/>
    </row>
    <row r="21" spans="1:11" s="243" customFormat="1" ht="14.25" x14ac:dyDescent="0.2">
      <c r="A21" s="249" t="s">
        <v>170</v>
      </c>
      <c r="B21" s="251"/>
      <c r="C21" s="251">
        <v>9</v>
      </c>
      <c r="D21" s="251"/>
      <c r="E21" s="251"/>
      <c r="F21" s="251">
        <v>6</v>
      </c>
      <c r="G21" s="251"/>
      <c r="H21" s="246"/>
    </row>
    <row r="22" spans="1:11" s="243" customFormat="1" ht="14.25" x14ac:dyDescent="0.2">
      <c r="A22" s="249" t="s">
        <v>171</v>
      </c>
      <c r="B22" s="251"/>
      <c r="C22" s="251">
        <v>15</v>
      </c>
      <c r="D22" s="251"/>
      <c r="E22" s="251"/>
      <c r="F22" s="251">
        <v>26</v>
      </c>
      <c r="G22" s="251"/>
      <c r="H22" s="246"/>
    </row>
    <row r="23" spans="1:11" s="243" customFormat="1" ht="14.25" x14ac:dyDescent="0.2">
      <c r="A23" s="249" t="s">
        <v>172</v>
      </c>
      <c r="B23" s="251"/>
      <c r="C23" s="251"/>
      <c r="D23" s="251"/>
      <c r="E23" s="251"/>
      <c r="F23" s="251">
        <v>6</v>
      </c>
      <c r="G23" s="251"/>
      <c r="H23" s="246"/>
    </row>
    <row r="24" spans="1:11" s="243" customFormat="1" ht="14.25" x14ac:dyDescent="0.2">
      <c r="A24" s="249" t="s">
        <v>173</v>
      </c>
      <c r="B24" s="251">
        <v>34</v>
      </c>
      <c r="C24" s="251">
        <v>147</v>
      </c>
      <c r="D24" s="251"/>
      <c r="E24" s="251">
        <v>42</v>
      </c>
      <c r="F24" s="251">
        <v>196</v>
      </c>
      <c r="G24" s="251"/>
      <c r="H24" s="246"/>
    </row>
    <row r="25" spans="1:11" s="243" customFormat="1" ht="14.25" x14ac:dyDescent="0.2">
      <c r="A25" s="249" t="s">
        <v>174</v>
      </c>
      <c r="B25" s="251"/>
      <c r="C25" s="251">
        <v>3</v>
      </c>
      <c r="D25" s="251"/>
      <c r="E25" s="251"/>
      <c r="F25" s="251">
        <v>3</v>
      </c>
      <c r="G25" s="251"/>
      <c r="H25" s="246"/>
    </row>
    <row r="26" spans="1:11" s="243" customFormat="1" ht="14.25" x14ac:dyDescent="0.2">
      <c r="A26" s="249" t="s">
        <v>175</v>
      </c>
      <c r="B26" s="251"/>
      <c r="C26" s="251"/>
      <c r="D26" s="251"/>
      <c r="E26" s="251"/>
      <c r="F26" s="251"/>
      <c r="G26" s="251"/>
      <c r="H26" s="246"/>
    </row>
    <row r="27" spans="1:11" s="243" customFormat="1" ht="14.25" x14ac:dyDescent="0.2">
      <c r="A27" s="249" t="s">
        <v>168</v>
      </c>
      <c r="B27" s="251"/>
      <c r="C27" s="251"/>
      <c r="D27" s="251">
        <v>13</v>
      </c>
      <c r="E27" s="251"/>
      <c r="F27" s="251"/>
      <c r="G27" s="251">
        <v>21</v>
      </c>
      <c r="H27" s="246"/>
    </row>
    <row r="28" spans="1:11" s="243" customFormat="1" ht="15" x14ac:dyDescent="0.2">
      <c r="A28" s="254" t="s">
        <v>159</v>
      </c>
      <c r="B28" s="255">
        <f>SUM(B20:B27)</f>
        <v>34</v>
      </c>
      <c r="C28" s="255">
        <f t="shared" ref="C28:E28" si="0">SUM(C20:C27)</f>
        <v>174</v>
      </c>
      <c r="D28" s="255">
        <f t="shared" si="0"/>
        <v>13</v>
      </c>
      <c r="E28" s="255">
        <f t="shared" si="0"/>
        <v>42</v>
      </c>
      <c r="F28" s="255">
        <f t="shared" ref="F28:G28" si="1">SUM(F20:F27)</f>
        <v>237</v>
      </c>
      <c r="G28" s="255">
        <f t="shared" si="1"/>
        <v>21</v>
      </c>
      <c r="H28" s="246"/>
    </row>
    <row r="29" spans="1:11" s="243" customFormat="1" ht="14.25" x14ac:dyDescent="0.2">
      <c r="B29" s="253"/>
      <c r="C29" s="253"/>
      <c r="D29" s="253"/>
      <c r="E29" s="246"/>
      <c r="F29" s="246"/>
      <c r="G29" s="246"/>
      <c r="H29" s="246"/>
      <c r="J29" s="246"/>
      <c r="K29" s="246"/>
    </row>
    <row r="30" spans="1:11" s="243" customFormat="1" ht="14.25" x14ac:dyDescent="0.2">
      <c r="B30" s="253"/>
      <c r="C30" s="253"/>
      <c r="D30" s="253"/>
      <c r="E30" s="246"/>
      <c r="F30" s="246"/>
      <c r="G30" s="246"/>
      <c r="H30" s="246"/>
      <c r="J30" s="246"/>
      <c r="K30" s="246"/>
    </row>
    <row r="31" spans="1:11" s="243" customFormat="1" ht="35.1" customHeight="1" x14ac:dyDescent="0.2">
      <c r="A31" s="247" t="s">
        <v>176</v>
      </c>
      <c r="B31" s="248" t="s">
        <v>177</v>
      </c>
      <c r="C31" s="248" t="s">
        <v>157</v>
      </c>
      <c r="D31" s="246"/>
      <c r="E31" s="369" t="s">
        <v>178</v>
      </c>
      <c r="F31" s="369"/>
      <c r="G31" s="248" t="s">
        <v>179</v>
      </c>
      <c r="H31" s="248" t="s">
        <v>180</v>
      </c>
      <c r="I31" s="246"/>
      <c r="J31" s="246"/>
    </row>
    <row r="32" spans="1:11" s="243" customFormat="1" ht="14.25" x14ac:dyDescent="0.2">
      <c r="A32" s="249">
        <v>90401</v>
      </c>
      <c r="B32" s="251">
        <v>44</v>
      </c>
      <c r="C32" s="251">
        <v>62</v>
      </c>
      <c r="D32" s="246"/>
      <c r="E32" s="367" t="s">
        <v>181</v>
      </c>
      <c r="F32" s="367"/>
      <c r="G32" s="257"/>
      <c r="H32" s="257"/>
      <c r="I32" s="246"/>
      <c r="J32" s="246"/>
    </row>
    <row r="33" spans="1:11" s="243" customFormat="1" ht="14.25" x14ac:dyDescent="0.2">
      <c r="A33" s="249">
        <v>90402</v>
      </c>
      <c r="B33" s="251">
        <v>9</v>
      </c>
      <c r="C33" s="251">
        <v>12</v>
      </c>
      <c r="D33" s="246"/>
      <c r="E33" s="365" t="s">
        <v>182</v>
      </c>
      <c r="F33" s="365"/>
      <c r="G33" s="259"/>
      <c r="H33" s="257"/>
      <c r="I33" s="246"/>
      <c r="J33" s="246"/>
    </row>
    <row r="34" spans="1:11" s="243" customFormat="1" ht="14.25" x14ac:dyDescent="0.2">
      <c r="A34" s="249">
        <v>90403</v>
      </c>
      <c r="B34" s="251">
        <v>54</v>
      </c>
      <c r="C34" s="251">
        <v>73</v>
      </c>
      <c r="D34" s="246"/>
      <c r="E34" s="365" t="s">
        <v>183</v>
      </c>
      <c r="F34" s="365"/>
      <c r="G34" s="259"/>
      <c r="H34" s="257"/>
      <c r="I34" s="246"/>
      <c r="J34" s="246"/>
    </row>
    <row r="35" spans="1:11" s="243" customFormat="1" ht="14.25" x14ac:dyDescent="0.2">
      <c r="A35" s="249">
        <v>90404</v>
      </c>
      <c r="B35" s="251">
        <v>57</v>
      </c>
      <c r="C35" s="251">
        <v>82</v>
      </c>
      <c r="D35" s="246"/>
      <c r="E35" s="367" t="s">
        <v>184</v>
      </c>
      <c r="F35" s="367"/>
      <c r="G35" s="259"/>
      <c r="H35" s="257"/>
      <c r="I35" s="246"/>
      <c r="J35" s="246"/>
    </row>
    <row r="36" spans="1:11" s="243" customFormat="1" ht="14.25" x14ac:dyDescent="0.2">
      <c r="A36" s="249">
        <v>90405</v>
      </c>
      <c r="B36" s="251">
        <v>57</v>
      </c>
      <c r="C36" s="251">
        <v>71</v>
      </c>
      <c r="D36" s="246"/>
      <c r="E36" s="367" t="s">
        <v>185</v>
      </c>
      <c r="F36" s="367"/>
      <c r="G36" s="259"/>
      <c r="H36" s="257"/>
      <c r="I36" s="246"/>
      <c r="J36" s="246"/>
    </row>
    <row r="37" spans="1:11" s="243" customFormat="1" ht="14.25" x14ac:dyDescent="0.2">
      <c r="A37" s="249" t="s">
        <v>186</v>
      </c>
      <c r="B37" s="251"/>
      <c r="C37" s="251"/>
      <c r="D37" s="246"/>
      <c r="E37" s="367" t="s">
        <v>187</v>
      </c>
      <c r="F37" s="367"/>
      <c r="G37" s="259">
        <v>1</v>
      </c>
      <c r="H37" s="257">
        <v>1</v>
      </c>
      <c r="I37" s="246"/>
      <c r="J37" s="246"/>
    </row>
    <row r="38" spans="1:11" s="243" customFormat="1" ht="15" x14ac:dyDescent="0.2">
      <c r="A38" s="254" t="s">
        <v>159</v>
      </c>
      <c r="B38" s="255">
        <f>SUM(B32:B37)</f>
        <v>221</v>
      </c>
      <c r="C38" s="255">
        <f>SUM(C32:C37)</f>
        <v>300</v>
      </c>
      <c r="D38" s="253"/>
      <c r="E38" s="367" t="s">
        <v>188</v>
      </c>
      <c r="F38" s="367"/>
      <c r="G38" s="259">
        <v>2</v>
      </c>
      <c r="H38" s="257">
        <v>3</v>
      </c>
      <c r="I38" s="246"/>
      <c r="J38" s="246"/>
    </row>
    <row r="39" spans="1:11" s="243" customFormat="1" ht="14.25" x14ac:dyDescent="0.2">
      <c r="B39" s="246"/>
      <c r="C39" s="253"/>
      <c r="E39" s="367" t="s">
        <v>189</v>
      </c>
      <c r="F39" s="367"/>
      <c r="G39" s="259">
        <v>10</v>
      </c>
      <c r="H39" s="257">
        <v>13</v>
      </c>
      <c r="J39" s="246"/>
      <c r="K39" s="246"/>
    </row>
    <row r="40" spans="1:11" s="243" customFormat="1" ht="14.25" x14ac:dyDescent="0.2">
      <c r="E40" s="367" t="s">
        <v>190</v>
      </c>
      <c r="F40" s="367"/>
      <c r="G40" s="259">
        <f>36+61</f>
        <v>97</v>
      </c>
      <c r="H40" s="257">
        <v>129</v>
      </c>
    </row>
    <row r="41" spans="1:11" s="243" customFormat="1" ht="14.25" x14ac:dyDescent="0.2">
      <c r="E41" s="367" t="s">
        <v>191</v>
      </c>
      <c r="F41" s="367"/>
      <c r="G41" s="259">
        <f>20+54</f>
        <v>74</v>
      </c>
      <c r="H41" s="257">
        <v>103</v>
      </c>
    </row>
    <row r="42" spans="1:11" s="243" customFormat="1" ht="14.25" x14ac:dyDescent="0.2">
      <c r="E42" s="367" t="s">
        <v>192</v>
      </c>
      <c r="F42" s="367"/>
      <c r="G42" s="259">
        <f>5+32</f>
        <v>37</v>
      </c>
      <c r="H42" s="257">
        <v>51</v>
      </c>
    </row>
    <row r="43" spans="1:11" s="243" customFormat="1" ht="14.25" x14ac:dyDescent="0.2">
      <c r="E43" s="370" t="s">
        <v>186</v>
      </c>
      <c r="F43" s="371"/>
      <c r="G43" s="259"/>
      <c r="H43" s="257"/>
    </row>
    <row r="44" spans="1:11" s="243" customFormat="1" ht="15" x14ac:dyDescent="0.2">
      <c r="E44" s="366" t="s">
        <v>159</v>
      </c>
      <c r="F44" s="366"/>
      <c r="G44" s="261">
        <f>SUM(G32:G43)</f>
        <v>221</v>
      </c>
      <c r="H44" s="261">
        <f>SUM(H32:H43)</f>
        <v>300</v>
      </c>
    </row>
    <row r="45" spans="1:11" s="243" customFormat="1" ht="14.25" x14ac:dyDescent="0.2"/>
    <row r="46" spans="1:11" s="243" customFormat="1" ht="14.25" x14ac:dyDescent="0.2"/>
    <row r="47" spans="1:11" s="243" customFormat="1" ht="42" customHeight="1" x14ac:dyDescent="0.2">
      <c r="A47" s="262" t="s">
        <v>193</v>
      </c>
      <c r="B47" s="263" t="s">
        <v>179</v>
      </c>
      <c r="C47" s="263" t="s">
        <v>157</v>
      </c>
      <c r="E47" s="372" t="s">
        <v>194</v>
      </c>
      <c r="F47" s="372"/>
      <c r="G47" s="263" t="s">
        <v>179</v>
      </c>
      <c r="H47" s="263" t="s">
        <v>157</v>
      </c>
    </row>
    <row r="48" spans="1:11" s="243" customFormat="1" ht="14.25" x14ac:dyDescent="0.2">
      <c r="A48" s="256" t="s">
        <v>195</v>
      </c>
      <c r="B48" s="264">
        <v>68</v>
      </c>
      <c r="C48" s="264">
        <v>100</v>
      </c>
      <c r="E48" s="367" t="s">
        <v>196</v>
      </c>
      <c r="F48" s="367"/>
      <c r="G48" s="265"/>
      <c r="H48" s="265"/>
    </row>
    <row r="49" spans="1:14" s="243" customFormat="1" ht="14.25" x14ac:dyDescent="0.2">
      <c r="A49" s="258" t="s">
        <v>197</v>
      </c>
      <c r="B49" s="266">
        <v>153</v>
      </c>
      <c r="C49" s="264">
        <v>200</v>
      </c>
      <c r="E49" s="365" t="s">
        <v>198</v>
      </c>
      <c r="F49" s="365"/>
      <c r="G49" s="267"/>
      <c r="H49" s="265"/>
    </row>
    <row r="50" spans="1:14" s="243" customFormat="1" ht="14.25" x14ac:dyDescent="0.2">
      <c r="A50" s="258" t="s">
        <v>199</v>
      </c>
      <c r="B50" s="268"/>
      <c r="C50" s="264"/>
      <c r="E50" s="365" t="s">
        <v>200</v>
      </c>
      <c r="F50" s="365"/>
      <c r="G50" s="267"/>
      <c r="H50" s="265"/>
    </row>
    <row r="51" spans="1:14" s="243" customFormat="1" ht="14.25" x14ac:dyDescent="0.2">
      <c r="A51" s="258" t="s">
        <v>201</v>
      </c>
      <c r="B51" s="268"/>
      <c r="C51" s="264"/>
      <c r="E51" s="367" t="s">
        <v>202</v>
      </c>
      <c r="F51" s="367"/>
      <c r="G51" s="268">
        <v>221</v>
      </c>
      <c r="H51" s="265">
        <v>221</v>
      </c>
    </row>
    <row r="52" spans="1:14" s="243" customFormat="1" ht="14.25" x14ac:dyDescent="0.2">
      <c r="A52" s="256" t="s">
        <v>203</v>
      </c>
      <c r="B52" s="268"/>
      <c r="C52" s="264"/>
      <c r="E52" s="367" t="s">
        <v>204</v>
      </c>
      <c r="F52" s="367"/>
      <c r="G52" s="267"/>
      <c r="H52" s="265"/>
    </row>
    <row r="53" spans="1:14" s="243" customFormat="1" ht="14.25" x14ac:dyDescent="0.2">
      <c r="A53" s="256" t="s">
        <v>205</v>
      </c>
      <c r="B53" s="268"/>
      <c r="C53" s="264"/>
      <c r="E53" s="367" t="s">
        <v>206</v>
      </c>
      <c r="F53" s="367"/>
      <c r="G53" s="267"/>
      <c r="H53" s="265">
        <v>79</v>
      </c>
    </row>
    <row r="54" spans="1:14" s="243" customFormat="1" ht="15" x14ac:dyDescent="0.2">
      <c r="A54" s="256" t="s">
        <v>207</v>
      </c>
      <c r="B54" s="268"/>
      <c r="C54" s="264"/>
      <c r="E54" s="366" t="s">
        <v>208</v>
      </c>
      <c r="F54" s="366"/>
      <c r="G54" s="267"/>
      <c r="H54" s="265"/>
    </row>
    <row r="55" spans="1:14" ht="15" x14ac:dyDescent="0.2">
      <c r="A55" s="256" t="s">
        <v>206</v>
      </c>
      <c r="B55" s="268"/>
      <c r="C55" s="264"/>
      <c r="D55" s="121"/>
      <c r="E55" s="368" t="s">
        <v>159</v>
      </c>
      <c r="F55" s="368"/>
      <c r="G55" s="261">
        <f>SUM(G48:G54)</f>
        <v>221</v>
      </c>
      <c r="H55" s="261">
        <f>SUM(H48:H54)</f>
        <v>300</v>
      </c>
      <c r="I55" s="121"/>
      <c r="J55" s="121"/>
      <c r="K55" s="121"/>
    </row>
    <row r="56" spans="1:14" ht="15" x14ac:dyDescent="0.2">
      <c r="A56" s="260" t="s">
        <v>208</v>
      </c>
      <c r="B56" s="269"/>
      <c r="C56" s="268"/>
      <c r="D56" s="121"/>
      <c r="E56" s="121"/>
      <c r="F56" s="121"/>
      <c r="G56" s="121"/>
      <c r="H56" s="121"/>
      <c r="I56" s="121"/>
      <c r="J56" s="121"/>
      <c r="K56" s="121"/>
    </row>
    <row r="57" spans="1:14" ht="15" x14ac:dyDescent="0.2">
      <c r="A57" s="254" t="s">
        <v>159</v>
      </c>
      <c r="B57" s="261">
        <f>SUM(B48:B56)</f>
        <v>221</v>
      </c>
      <c r="C57" s="261">
        <f>SUM(C48:C56)</f>
        <v>300</v>
      </c>
      <c r="D57" s="121"/>
      <c r="E57" s="121"/>
      <c r="F57" s="121"/>
      <c r="G57" s="121"/>
      <c r="H57" s="121"/>
      <c r="I57" s="121"/>
      <c r="J57" s="121"/>
      <c r="K57" s="121"/>
    </row>
    <row r="58" spans="1:14" s="239" customFormat="1" x14ac:dyDescent="0.2">
      <c r="A58" s="270"/>
      <c r="B58" s="271"/>
      <c r="D58" s="271"/>
      <c r="E58" s="121"/>
      <c r="F58" s="121"/>
      <c r="G58" s="121"/>
      <c r="H58" s="121"/>
      <c r="L58" s="121"/>
      <c r="M58" s="121"/>
      <c r="N58" s="121"/>
    </row>
    <row r="59" spans="1:14" s="239" customFormat="1" x14ac:dyDescent="0.2">
      <c r="A59" s="270"/>
      <c r="B59" s="271"/>
      <c r="D59" s="271"/>
      <c r="E59" s="271"/>
      <c r="F59" s="271"/>
      <c r="G59" s="271"/>
      <c r="H59" s="271"/>
      <c r="L59" s="121"/>
      <c r="M59" s="121"/>
      <c r="N59" s="121"/>
    </row>
    <row r="60" spans="1:14" s="243" customFormat="1" ht="30" customHeight="1" x14ac:dyDescent="0.2">
      <c r="A60" s="270"/>
      <c r="B60" s="271"/>
      <c r="C60" s="271"/>
    </row>
    <row r="61" spans="1:14" s="243" customFormat="1" ht="14.25" x14ac:dyDescent="0.2">
      <c r="A61" s="270"/>
      <c r="B61" s="271"/>
      <c r="C61" s="239"/>
    </row>
    <row r="62" spans="1:14" s="243" customFormat="1" ht="14.25" x14ac:dyDescent="0.2"/>
    <row r="63" spans="1:14" s="243" customFormat="1" ht="14.25" x14ac:dyDescent="0.2"/>
    <row r="64" spans="1:14" s="243" customFormat="1" ht="14.25" x14ac:dyDescent="0.2"/>
    <row r="65" spans="1:11" s="243" customFormat="1" ht="14.25" x14ac:dyDescent="0.2"/>
    <row r="66" spans="1:11" s="243" customFormat="1" ht="14.25" x14ac:dyDescent="0.2">
      <c r="I66" s="121"/>
    </row>
    <row r="67" spans="1:11" ht="14.25" x14ac:dyDescent="0.2">
      <c r="A67" s="243"/>
      <c r="B67" s="243"/>
      <c r="C67" s="243"/>
      <c r="D67" s="121"/>
      <c r="E67" s="121"/>
      <c r="F67" s="121"/>
      <c r="G67" s="121"/>
      <c r="H67" s="121"/>
      <c r="J67" s="121"/>
      <c r="K67" s="121"/>
    </row>
    <row r="68" spans="1:11" ht="14.25" x14ac:dyDescent="0.2">
      <c r="A68" s="243"/>
      <c r="B68" s="243"/>
      <c r="C68" s="243"/>
    </row>
    <row r="69" spans="1:11" x14ac:dyDescent="0.2">
      <c r="A69" s="121"/>
      <c r="B69" s="121"/>
      <c r="C69" s="121"/>
    </row>
  </sheetData>
  <sheetProtection algorithmName="SHA-512" hashValue="EoLWJ/XIhrV9sxEvJb5H7dGyo43r4b3TGRzvgeDPBXMjwL4HvC6zL/vPwqMz4c63U+YCDhfJ/Hyy0LUgTnN3sQ==" saltValue="h9YtsdWsIf9TYGefCswBmA==" spinCount="100000" sheet="1" objects="1" scenarios="1"/>
  <mergeCells count="26">
    <mergeCell ref="E54:F54"/>
    <mergeCell ref="E52:F52"/>
    <mergeCell ref="E53:F53"/>
    <mergeCell ref="E55:F55"/>
    <mergeCell ref="A18:A19"/>
    <mergeCell ref="E49:F49"/>
    <mergeCell ref="E50:F50"/>
    <mergeCell ref="E51:F51"/>
    <mergeCell ref="E31:F31"/>
    <mergeCell ref="E32:F32"/>
    <mergeCell ref="E18:G18"/>
    <mergeCell ref="E43:F43"/>
    <mergeCell ref="E35:F35"/>
    <mergeCell ref="E47:F47"/>
    <mergeCell ref="E48:F48"/>
    <mergeCell ref="E33:F33"/>
    <mergeCell ref="B18:D18"/>
    <mergeCell ref="E34:F34"/>
    <mergeCell ref="E44:F44"/>
    <mergeCell ref="E42:F42"/>
    <mergeCell ref="E41:F41"/>
    <mergeCell ref="E40:F40"/>
    <mergeCell ref="E39:F39"/>
    <mergeCell ref="E38:F38"/>
    <mergeCell ref="E37:F37"/>
    <mergeCell ref="E36:F3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DD7EE"/>
  </sheetPr>
  <dimension ref="A1:P31"/>
  <sheetViews>
    <sheetView zoomScale="90" zoomScaleNormal="90" workbookViewId="0">
      <selection activeCell="E14" sqref="E14"/>
    </sheetView>
  </sheetViews>
  <sheetFormatPr defaultRowHeight="12.75" x14ac:dyDescent="0.2"/>
  <cols>
    <col min="1" max="1" width="4.5703125" customWidth="1"/>
    <col min="2" max="2" width="20" customWidth="1"/>
    <col min="3" max="3" width="34.140625" customWidth="1"/>
    <col min="4" max="4" width="16" customWidth="1"/>
    <col min="5" max="5" width="39.28515625" customWidth="1"/>
    <col min="6" max="6" width="24.140625" customWidth="1"/>
    <col min="7" max="7" width="26.140625" customWidth="1"/>
    <col min="8" max="8" width="17.7109375" customWidth="1"/>
    <col min="9" max="9" width="36.7109375" customWidth="1"/>
    <col min="10" max="10" width="17" customWidth="1"/>
    <col min="11" max="11" width="34" customWidth="1"/>
    <col min="12" max="12" width="13.5703125" customWidth="1"/>
  </cols>
  <sheetData>
    <row r="1" spans="1:16" ht="18" x14ac:dyDescent="0.2">
      <c r="A1" s="235" t="s">
        <v>14</v>
      </c>
      <c r="B1" s="235"/>
      <c r="C1" s="238"/>
      <c r="D1" s="272"/>
      <c r="E1" s="272"/>
      <c r="F1" s="273"/>
    </row>
    <row r="2" spans="1:16" ht="18" x14ac:dyDescent="0.2">
      <c r="A2" s="235" t="s">
        <v>209</v>
      </c>
      <c r="B2" s="235"/>
      <c r="C2" s="240"/>
      <c r="D2" s="240"/>
      <c r="E2" s="241"/>
      <c r="F2" s="273"/>
    </row>
    <row r="3" spans="1:16" ht="18.75" thickBot="1" x14ac:dyDescent="0.25">
      <c r="A3" s="235"/>
    </row>
    <row r="4" spans="1:16" s="1" customFormat="1" ht="16.5" thickBot="1" x14ac:dyDescent="0.3">
      <c r="A4" s="274" t="s">
        <v>16</v>
      </c>
      <c r="B4" s="118"/>
      <c r="C4" s="118"/>
      <c r="D4" s="118"/>
      <c r="E4" s="118"/>
      <c r="F4" s="118"/>
      <c r="G4" s="118"/>
      <c r="H4" s="118"/>
      <c r="I4" s="118"/>
      <c r="J4" s="118"/>
      <c r="K4" s="118"/>
      <c r="L4" s="119"/>
      <c r="M4" s="275"/>
      <c r="N4" s="275"/>
      <c r="O4" s="275"/>
      <c r="P4" s="275"/>
    </row>
    <row r="5" spans="1:16" s="115" customFormat="1" ht="24" customHeight="1" x14ac:dyDescent="0.2">
      <c r="A5" s="276" t="s">
        <v>17</v>
      </c>
      <c r="B5" s="277"/>
      <c r="C5" s="277"/>
      <c r="D5" s="277"/>
      <c r="E5" s="277"/>
      <c r="F5" s="277"/>
      <c r="G5" s="277"/>
      <c r="H5" s="277"/>
      <c r="I5" s="277"/>
      <c r="J5" s="277"/>
      <c r="K5" s="277"/>
      <c r="L5" s="278"/>
    </row>
    <row r="6" spans="1:16" ht="72" customHeight="1" thickBot="1" x14ac:dyDescent="0.25">
      <c r="A6" s="383" t="s">
        <v>210</v>
      </c>
      <c r="B6" s="384"/>
      <c r="C6" s="384"/>
      <c r="D6" s="384"/>
      <c r="E6" s="384"/>
      <c r="F6" s="384"/>
      <c r="G6" s="384"/>
      <c r="H6" s="279"/>
      <c r="I6" s="279"/>
      <c r="J6" s="279"/>
      <c r="K6" s="279"/>
      <c r="L6" s="280"/>
    </row>
    <row r="7" spans="1:16" ht="24.95" customHeight="1" thickBot="1" x14ac:dyDescent="0.25">
      <c r="A7" s="281"/>
      <c r="B7" s="281"/>
      <c r="C7" s="281"/>
      <c r="D7" s="281"/>
      <c r="E7" s="281"/>
      <c r="F7" s="281"/>
      <c r="G7" s="281"/>
      <c r="H7" s="281"/>
      <c r="I7" s="281"/>
      <c r="J7" s="281"/>
      <c r="K7" s="281"/>
      <c r="L7" s="281"/>
    </row>
    <row r="8" spans="1:16" ht="51.6" customHeight="1" x14ac:dyDescent="0.2">
      <c r="A8" s="282"/>
      <c r="B8" s="282" t="s">
        <v>211</v>
      </c>
      <c r="C8" s="282" t="s">
        <v>212</v>
      </c>
      <c r="D8" s="282" t="s">
        <v>213</v>
      </c>
      <c r="E8" s="282" t="s">
        <v>214</v>
      </c>
      <c r="F8" s="282" t="s">
        <v>215</v>
      </c>
      <c r="G8" s="283" t="s">
        <v>216</v>
      </c>
      <c r="H8" s="284" t="s">
        <v>217</v>
      </c>
      <c r="I8" s="285" t="s">
        <v>218</v>
      </c>
      <c r="J8" s="284" t="s">
        <v>219</v>
      </c>
      <c r="K8" s="286" t="s">
        <v>220</v>
      </c>
      <c r="L8" s="285" t="s">
        <v>221</v>
      </c>
      <c r="N8" s="287"/>
    </row>
    <row r="9" spans="1:16" ht="21" customHeight="1" x14ac:dyDescent="0.2">
      <c r="A9" s="288" t="s">
        <v>222</v>
      </c>
      <c r="B9" s="288"/>
      <c r="C9" s="288"/>
      <c r="D9" s="288"/>
      <c r="E9" s="288"/>
      <c r="F9" s="288"/>
      <c r="G9" s="289"/>
      <c r="H9" s="290"/>
      <c r="I9" s="291"/>
      <c r="J9" s="290"/>
      <c r="K9" s="288"/>
      <c r="L9" s="291"/>
    </row>
    <row r="10" spans="1:16" ht="60.95" customHeight="1" x14ac:dyDescent="0.2">
      <c r="A10" s="373">
        <v>1</v>
      </c>
      <c r="B10" s="374" t="s">
        <v>223</v>
      </c>
      <c r="C10" s="382" t="s">
        <v>224</v>
      </c>
      <c r="D10" s="292" t="s">
        <v>225</v>
      </c>
      <c r="E10" s="293" t="s">
        <v>226</v>
      </c>
      <c r="F10" s="294">
        <v>200</v>
      </c>
      <c r="G10" s="292" t="s">
        <v>227</v>
      </c>
      <c r="H10" s="295">
        <v>221</v>
      </c>
      <c r="I10" s="296" t="s">
        <v>228</v>
      </c>
      <c r="J10" s="297">
        <v>300</v>
      </c>
      <c r="K10" s="298" t="s">
        <v>229</v>
      </c>
      <c r="L10" s="299">
        <v>1.5</v>
      </c>
    </row>
    <row r="11" spans="1:16" ht="61.5" customHeight="1" x14ac:dyDescent="0.2">
      <c r="A11" s="373"/>
      <c r="B11" s="374"/>
      <c r="C11" s="382"/>
      <c r="D11" s="292" t="s">
        <v>230</v>
      </c>
      <c r="E11" s="293" t="s">
        <v>231</v>
      </c>
      <c r="F11" s="300">
        <v>0.9</v>
      </c>
      <c r="G11" s="292" t="s">
        <v>227</v>
      </c>
      <c r="H11" s="301" t="s">
        <v>232</v>
      </c>
      <c r="I11" s="302"/>
      <c r="J11" s="303" t="s">
        <v>233</v>
      </c>
      <c r="K11" s="304" t="s">
        <v>234</v>
      </c>
      <c r="L11" s="299">
        <v>1.1100000000000001</v>
      </c>
    </row>
    <row r="12" spans="1:16" ht="39.950000000000003" customHeight="1" x14ac:dyDescent="0.2">
      <c r="A12" s="373">
        <v>2</v>
      </c>
      <c r="B12" s="374" t="s">
        <v>235</v>
      </c>
      <c r="C12" s="382" t="s">
        <v>236</v>
      </c>
      <c r="D12" s="292" t="s">
        <v>225</v>
      </c>
      <c r="E12" s="293" t="s">
        <v>237</v>
      </c>
      <c r="F12" s="294">
        <v>53</v>
      </c>
      <c r="G12" s="292" t="s">
        <v>227</v>
      </c>
      <c r="H12" s="295">
        <v>82</v>
      </c>
      <c r="I12" s="305" t="s">
        <v>238</v>
      </c>
      <c r="J12" s="306">
        <v>90</v>
      </c>
      <c r="K12" s="307" t="s">
        <v>238</v>
      </c>
      <c r="L12" s="299">
        <v>1.7</v>
      </c>
    </row>
    <row r="13" spans="1:16" ht="39.950000000000003" customHeight="1" x14ac:dyDescent="0.2">
      <c r="A13" s="373"/>
      <c r="B13" s="374"/>
      <c r="C13" s="382"/>
      <c r="D13" s="292" t="s">
        <v>230</v>
      </c>
      <c r="E13" s="293" t="s">
        <v>239</v>
      </c>
      <c r="F13" s="300">
        <v>0.7</v>
      </c>
      <c r="G13" s="292" t="s">
        <v>240</v>
      </c>
      <c r="H13" s="308" t="s">
        <v>241</v>
      </c>
      <c r="I13" s="302"/>
      <c r="J13" s="309">
        <v>0.9</v>
      </c>
      <c r="K13" s="304" t="s">
        <v>234</v>
      </c>
      <c r="L13" s="299">
        <v>1.28</v>
      </c>
    </row>
    <row r="14" spans="1:16" ht="39.950000000000003" customHeight="1" x14ac:dyDescent="0.2">
      <c r="A14" s="373">
        <v>3</v>
      </c>
      <c r="B14" s="374" t="s">
        <v>235</v>
      </c>
      <c r="C14" s="375" t="s">
        <v>242</v>
      </c>
      <c r="D14" s="292" t="s">
        <v>225</v>
      </c>
      <c r="E14" s="292" t="s">
        <v>243</v>
      </c>
      <c r="F14" s="292" t="s">
        <v>244</v>
      </c>
      <c r="G14" s="292" t="s">
        <v>245</v>
      </c>
      <c r="H14" s="295">
        <v>15</v>
      </c>
      <c r="I14" s="305" t="s">
        <v>246</v>
      </c>
      <c r="J14" s="310">
        <v>48</v>
      </c>
      <c r="K14" s="311" t="s">
        <v>247</v>
      </c>
      <c r="L14" s="299">
        <v>1.3</v>
      </c>
    </row>
    <row r="15" spans="1:16" ht="72.75" customHeight="1" x14ac:dyDescent="0.2">
      <c r="A15" s="373"/>
      <c r="B15" s="374"/>
      <c r="C15" s="376"/>
      <c r="D15" s="292" t="s">
        <v>230</v>
      </c>
      <c r="E15" s="293" t="s">
        <v>248</v>
      </c>
      <c r="F15" s="300">
        <v>0.6</v>
      </c>
      <c r="G15" s="292" t="s">
        <v>249</v>
      </c>
      <c r="H15" s="308" t="s">
        <v>241</v>
      </c>
      <c r="I15" s="302"/>
      <c r="J15" s="312">
        <v>0.875</v>
      </c>
      <c r="K15" s="311" t="s">
        <v>250</v>
      </c>
      <c r="L15" s="299">
        <v>1.46</v>
      </c>
    </row>
    <row r="16" spans="1:16" ht="24" customHeight="1" x14ac:dyDescent="0.2">
      <c r="A16" s="288" t="s">
        <v>251</v>
      </c>
      <c r="B16" s="288"/>
      <c r="C16" s="288"/>
      <c r="D16" s="288"/>
      <c r="E16" s="288"/>
      <c r="F16" s="288"/>
      <c r="G16" s="289"/>
      <c r="H16" s="313"/>
      <c r="I16" s="314"/>
      <c r="J16" s="313"/>
      <c r="K16" s="315"/>
      <c r="L16" s="314"/>
    </row>
    <row r="17" spans="1:12" ht="39.950000000000003" customHeight="1" x14ac:dyDescent="0.2">
      <c r="A17" s="373">
        <v>1</v>
      </c>
      <c r="B17" s="377" t="s">
        <v>223</v>
      </c>
      <c r="C17" s="377" t="s">
        <v>224</v>
      </c>
      <c r="D17" s="316" t="s">
        <v>225</v>
      </c>
      <c r="E17" s="317" t="s">
        <v>252</v>
      </c>
      <c r="F17" s="316">
        <v>45</v>
      </c>
      <c r="G17" s="316" t="s">
        <v>253</v>
      </c>
      <c r="H17" s="295">
        <v>36</v>
      </c>
      <c r="I17" s="318" t="s">
        <v>254</v>
      </c>
      <c r="J17" s="319">
        <v>58</v>
      </c>
      <c r="K17" s="298" t="s">
        <v>255</v>
      </c>
      <c r="L17" s="320">
        <v>1.29</v>
      </c>
    </row>
    <row r="18" spans="1:12" ht="39.950000000000003" customHeight="1" x14ac:dyDescent="0.2">
      <c r="A18" s="373"/>
      <c r="B18" s="378"/>
      <c r="C18" s="381"/>
      <c r="D18" s="316" t="s">
        <v>230</v>
      </c>
      <c r="E18" s="317" t="s">
        <v>256</v>
      </c>
      <c r="F18" s="321">
        <v>0.75</v>
      </c>
      <c r="G18" s="316" t="s">
        <v>257</v>
      </c>
      <c r="H18" s="322">
        <v>0.86</v>
      </c>
      <c r="I18" s="302"/>
      <c r="J18" s="323">
        <v>0.9</v>
      </c>
      <c r="K18" s="324" t="s">
        <v>234</v>
      </c>
      <c r="L18" s="320">
        <v>1.2</v>
      </c>
    </row>
    <row r="19" spans="1:12" ht="39.950000000000003" customHeight="1" x14ac:dyDescent="0.2">
      <c r="A19" s="373">
        <v>2</v>
      </c>
      <c r="B19" s="377" t="s">
        <v>235</v>
      </c>
      <c r="C19" s="379" t="s">
        <v>242</v>
      </c>
      <c r="D19" s="316" t="s">
        <v>225</v>
      </c>
      <c r="E19" s="316" t="s">
        <v>258</v>
      </c>
      <c r="F19" s="316">
        <v>445</v>
      </c>
      <c r="G19" s="316" t="s">
        <v>259</v>
      </c>
      <c r="H19" s="295">
        <v>488</v>
      </c>
      <c r="I19" s="318" t="s">
        <v>260</v>
      </c>
      <c r="J19" s="310">
        <v>998</v>
      </c>
      <c r="K19" s="307" t="s">
        <v>261</v>
      </c>
      <c r="L19" s="320">
        <v>2.2400000000000002</v>
      </c>
    </row>
    <row r="20" spans="1:12" ht="39.950000000000003" customHeight="1" x14ac:dyDescent="0.2">
      <c r="A20" s="373"/>
      <c r="B20" s="378"/>
      <c r="C20" s="380"/>
      <c r="D20" s="316" t="s">
        <v>230</v>
      </c>
      <c r="E20" s="316" t="s">
        <v>262</v>
      </c>
      <c r="F20" s="321">
        <v>0.9</v>
      </c>
      <c r="G20" s="316" t="s">
        <v>259</v>
      </c>
      <c r="H20" s="322">
        <v>0.93</v>
      </c>
      <c r="I20" s="302"/>
      <c r="J20" s="323">
        <v>1</v>
      </c>
      <c r="K20" s="324" t="s">
        <v>234</v>
      </c>
      <c r="L20" s="320">
        <v>1.1100000000000001</v>
      </c>
    </row>
    <row r="21" spans="1:12" ht="39.950000000000003" customHeight="1" x14ac:dyDescent="0.2">
      <c r="A21" s="373">
        <v>3</v>
      </c>
      <c r="B21" s="377" t="s">
        <v>235</v>
      </c>
      <c r="C21" s="379" t="s">
        <v>242</v>
      </c>
      <c r="D21" s="316" t="s">
        <v>225</v>
      </c>
      <c r="E21" s="317" t="s">
        <v>243</v>
      </c>
      <c r="F21" s="316">
        <v>37</v>
      </c>
      <c r="G21" s="316" t="s">
        <v>245</v>
      </c>
      <c r="H21" s="325">
        <v>15</v>
      </c>
      <c r="I21" s="318" t="s">
        <v>263</v>
      </c>
      <c r="J21" s="310">
        <v>48</v>
      </c>
      <c r="K21" s="324" t="s">
        <v>234</v>
      </c>
      <c r="L21" s="320">
        <v>1.3</v>
      </c>
    </row>
    <row r="22" spans="1:12" ht="53.45" customHeight="1" thickBot="1" x14ac:dyDescent="0.25">
      <c r="A22" s="373"/>
      <c r="B22" s="378"/>
      <c r="C22" s="380"/>
      <c r="D22" s="316" t="s">
        <v>230</v>
      </c>
      <c r="E22" s="317" t="s">
        <v>264</v>
      </c>
      <c r="F22" s="321">
        <v>0.7</v>
      </c>
      <c r="G22" s="316" t="s">
        <v>265</v>
      </c>
      <c r="H22" s="326">
        <v>0.9</v>
      </c>
      <c r="I22" s="327"/>
      <c r="J22" s="328">
        <v>1</v>
      </c>
      <c r="K22" s="329" t="s">
        <v>266</v>
      </c>
      <c r="L22" s="330">
        <v>1.43</v>
      </c>
    </row>
    <row r="23" spans="1:12" x14ac:dyDescent="0.2">
      <c r="A23" s="273"/>
      <c r="H23" s="331"/>
      <c r="I23" s="331"/>
      <c r="J23" s="331"/>
      <c r="K23" s="331"/>
      <c r="L23" s="331"/>
    </row>
    <row r="26" spans="1:12" x14ac:dyDescent="0.2">
      <c r="C26" s="332"/>
      <c r="D26" s="332"/>
      <c r="E26" s="332"/>
    </row>
    <row r="27" spans="1:12" x14ac:dyDescent="0.2">
      <c r="D27" s="333"/>
      <c r="E27" s="273"/>
    </row>
    <row r="28" spans="1:12" x14ac:dyDescent="0.2">
      <c r="C28" s="273"/>
      <c r="D28" s="333"/>
      <c r="E28" s="273"/>
    </row>
    <row r="29" spans="1:12" x14ac:dyDescent="0.2">
      <c r="C29" s="333"/>
      <c r="D29" s="333"/>
      <c r="E29" s="273"/>
    </row>
    <row r="30" spans="1:12" x14ac:dyDescent="0.2">
      <c r="C30" s="333"/>
      <c r="D30" s="333"/>
      <c r="E30" s="333"/>
    </row>
    <row r="31" spans="1:12" x14ac:dyDescent="0.2">
      <c r="D31" s="333"/>
    </row>
  </sheetData>
  <sheetProtection algorithmName="SHA-512" hashValue="lMTlxP+5V5mCu69PECqeJUOv971Y7iRWbbniL1AJtUFYqUHiGzILo5Iv0SjLvu4tVsM6zV91+QV404/pGKSKFA==" saltValue="jIy1n1mmA2QYRZLkNwccLg==" spinCount="100000" sheet="1" objects="1" scenarios="1"/>
  <dataConsolidate/>
  <mergeCells count="19">
    <mergeCell ref="A10:A11"/>
    <mergeCell ref="B10:B11"/>
    <mergeCell ref="C10:C11"/>
    <mergeCell ref="A6:G6"/>
    <mergeCell ref="A12:A13"/>
    <mergeCell ref="B12:B13"/>
    <mergeCell ref="C12:C13"/>
    <mergeCell ref="A14:A15"/>
    <mergeCell ref="B14:B15"/>
    <mergeCell ref="C14:C15"/>
    <mergeCell ref="A21:A22"/>
    <mergeCell ref="B21:B22"/>
    <mergeCell ref="C21:C22"/>
    <mergeCell ref="A17:A18"/>
    <mergeCell ref="B17:B18"/>
    <mergeCell ref="C17:C18"/>
    <mergeCell ref="A19:A20"/>
    <mergeCell ref="B19:B20"/>
    <mergeCell ref="C19:C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SharedWithUsers xmlns="bdb8ef80-3d76-4f2b-ba95-731db74cbb70">
      <UserInfo>
        <DisplayName>Claire Hester</DisplayName>
        <AccountId>15</AccountId>
        <AccountType/>
      </UserInfo>
      <UserInfo>
        <DisplayName>Marc Amaral</DisplayName>
        <AccountId>24</AccountId>
        <AccountType/>
      </UserInfo>
    </SharedWithUsers>
    <lcf76f155ced4ddcb4097134ff3c332f xmlns="c503424b-3e12-4ddd-ab41-5c8973ad5bb3">
      <Terms xmlns="http://schemas.microsoft.com/office/infopath/2007/PartnerControls"/>
    </lcf76f155ced4ddcb4097134ff3c332f>
    <TaxCatchAll xmlns="bdb8ef80-3d76-4f2b-ba95-731db74cbb7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48728A-3ABE-4BE2-8186-96DCFA2F47D3}">
  <ds:schemaRefs>
    <ds:schemaRef ds:uri="http://schemas.microsoft.com/sharepoint/v3/contenttype/forms"/>
  </ds:schemaRefs>
</ds:datastoreItem>
</file>

<file path=customXml/itemProps2.xml><?xml version="1.0" encoding="utf-8"?>
<ds:datastoreItem xmlns:ds="http://schemas.openxmlformats.org/officeDocument/2006/customXml" ds:itemID="{6DCC06EF-B43B-4BD3-92E2-8FC8B0FB07EF}">
  <ds:schemaRefs>
    <ds:schemaRef ds:uri="http://schemas.microsoft.com/office/2006/metadata/longProperties"/>
  </ds:schemaRefs>
</ds:datastoreItem>
</file>

<file path=customXml/itemProps3.xml><?xml version="1.0" encoding="utf-8"?>
<ds:datastoreItem xmlns:ds="http://schemas.openxmlformats.org/officeDocument/2006/customXml" ds:itemID="{97D4D97A-7F06-4E8D-98A9-7DE62E8788CF}">
  <ds:schemaRefs>
    <ds:schemaRef ds:uri="http://purl.org/dc/dcmitype/"/>
    <ds:schemaRef ds:uri="http://purl.org/dc/elements/1.1/"/>
    <ds:schemaRef ds:uri="http://schemas.openxmlformats.org/package/2006/metadata/core-properties"/>
    <ds:schemaRef ds:uri="http://purl.org/dc/terms/"/>
    <ds:schemaRef ds:uri="http://www.w3.org/XML/1998/namespace"/>
    <ds:schemaRef ds:uri="c503424b-3e12-4ddd-ab41-5c8973ad5bb3"/>
    <ds:schemaRef ds:uri="http://schemas.microsoft.com/office/2006/documentManagement/types"/>
    <ds:schemaRef ds:uri="http://schemas.microsoft.com/office/infopath/2007/PartnerControls"/>
    <ds:schemaRef ds:uri="bdb8ef80-3d76-4f2b-ba95-731db74cbb70"/>
    <ds:schemaRef ds:uri="http://schemas.microsoft.com/office/2006/metadata/properties"/>
  </ds:schemaRefs>
</ds:datastoreItem>
</file>

<file path=customXml/itemProps4.xml><?xml version="1.0" encoding="utf-8"?>
<ds:datastoreItem xmlns:ds="http://schemas.openxmlformats.org/officeDocument/2006/customXml" ds:itemID="{B69BC238-148B-4E51-9EEF-4AFC4DA89C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FISCAL REPORT</vt:lpstr>
      <vt:lpstr>CASH MATCH</vt:lpstr>
      <vt:lpstr>PARTICIPANT DEMOGRAPHICS</vt:lpstr>
      <vt:lpstr>PROGRAM EVALUATION</vt:lpstr>
      <vt:lpstr>'PROGRAM EVALUATION'!Health_and_Wellness</vt:lpstr>
      <vt:lpstr>'PROGRAM EVALUATION'!Lifelong_Learning</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