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1428" documentId="8_{60868163-AB00-4719-8B15-9FED08719B30}" xr6:coauthVersionLast="47" xr6:coauthVersionMax="47" xr10:uidLastSave="{F1517668-37B4-4846-9759-03C67FCD4E95}"/>
  <bookViews>
    <workbookView xWindow="-120" yWindow="-120" windowWidth="29040" windowHeight="15720" tabRatio="605" activeTab="4" xr2:uid="{00000000-000D-0000-FFFF-FFFF00000000}"/>
  </bookViews>
  <sheets>
    <sheet name="INSTRUCTIONS" sheetId="29" r:id="rId1"/>
    <sheet name="FISCAL REPORT" sheetId="36" r:id="rId2"/>
    <sheet name="PARTICIPANT DEMOGRAPHICS" sheetId="35" r:id="rId3"/>
    <sheet name="CASH MATCH" sheetId="14" r:id="rId4"/>
    <sheet name="PROGRAM EVALUATION" sheetId="37" r:id="rId5"/>
    <sheet name="ESRI_MAPINFO_SHEET" sheetId="31" state="veryHidden" r:id="rId6"/>
  </sheets>
  <definedNames>
    <definedName name="Health_and_Wellness" localSheetId="4">'PROGRAM EVALUATION'!$E$27:$E$31</definedName>
    <definedName name="Health_and_Wellness">#REF!</definedName>
    <definedName name="Lifelong_Learning" localSheetId="4">'PROGRAM EVALUATION'!$C$27:$C$31</definedName>
    <definedName name="Lifelong_Learning">#REF!</definedName>
    <definedName name="Stability" localSheetId="4">'PROGRAM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36" l="1"/>
  <c r="L59" i="36"/>
  <c r="I59" i="36"/>
  <c r="J59" i="36"/>
  <c r="K59" i="36"/>
  <c r="H59" i="36"/>
  <c r="G59" i="36"/>
  <c r="N57" i="36"/>
  <c r="K57" i="36"/>
  <c r="J57" i="36"/>
  <c r="H57" i="36"/>
  <c r="G57" i="36"/>
  <c r="D57" i="36"/>
  <c r="K90" i="36"/>
  <c r="K96" i="36"/>
  <c r="K48" i="36" l="1"/>
  <c r="K56" i="36"/>
  <c r="K55" i="36"/>
  <c r="L55" i="36" s="1"/>
  <c r="M55" i="36" s="1"/>
  <c r="K54" i="36"/>
  <c r="L54" i="36" s="1"/>
  <c r="M54" i="36" s="1"/>
  <c r="K53" i="36"/>
  <c r="K52" i="36"/>
  <c r="K50" i="36"/>
  <c r="L50" i="36" s="1"/>
  <c r="M50" i="36" s="1"/>
  <c r="N93" i="36"/>
  <c r="N99" i="36"/>
  <c r="N94" i="36"/>
  <c r="N92" i="36"/>
  <c r="N91" i="36"/>
  <c r="N90" i="36"/>
  <c r="J80" i="36"/>
  <c r="K80" i="36" s="1"/>
  <c r="N76" i="36"/>
  <c r="K103" i="36"/>
  <c r="K102" i="36"/>
  <c r="K100" i="36"/>
  <c r="L100" i="36" s="1"/>
  <c r="M100" i="36" s="1"/>
  <c r="K99" i="36"/>
  <c r="L99" i="36" s="1"/>
  <c r="M99" i="36" s="1"/>
  <c r="K98" i="36"/>
  <c r="L98" i="36" s="1"/>
  <c r="M98" i="36" s="1"/>
  <c r="K97" i="36"/>
  <c r="L97" i="36" s="1"/>
  <c r="M97" i="36" s="1"/>
  <c r="K95" i="36"/>
  <c r="L95" i="36" s="1"/>
  <c r="M95" i="36" s="1"/>
  <c r="K94" i="36"/>
  <c r="L94" i="36" s="1"/>
  <c r="M94" i="36" s="1"/>
  <c r="K91" i="36"/>
  <c r="L91" i="36" s="1"/>
  <c r="M91" i="36" s="1"/>
  <c r="K77" i="36"/>
  <c r="K76" i="36"/>
  <c r="K67" i="36"/>
  <c r="K66" i="36"/>
  <c r="K65" i="36"/>
  <c r="K64" i="36"/>
  <c r="J68" i="36"/>
  <c r="K68" i="36" s="1"/>
  <c r="J129" i="36"/>
  <c r="K129" i="36" s="1"/>
  <c r="J93" i="36"/>
  <c r="K93" i="36" s="1"/>
  <c r="L93" i="36" s="1"/>
  <c r="M93" i="36" s="1"/>
  <c r="J92" i="36"/>
  <c r="K92" i="36" s="1"/>
  <c r="L92" i="36" s="1"/>
  <c r="M92" i="36" s="1"/>
  <c r="J81" i="36"/>
  <c r="K81" i="36" s="1"/>
  <c r="I100" i="36"/>
  <c r="I99" i="36"/>
  <c r="I98" i="36"/>
  <c r="I97" i="36"/>
  <c r="L96" i="36"/>
  <c r="M96" i="36" s="1"/>
  <c r="I96" i="36"/>
  <c r="I95" i="36"/>
  <c r="I94" i="36"/>
  <c r="I93" i="36"/>
  <c r="I92" i="36"/>
  <c r="L80" i="36"/>
  <c r="M80" i="36" s="1"/>
  <c r="I80" i="36"/>
  <c r="L79" i="36"/>
  <c r="M79" i="36" s="1"/>
  <c r="I79" i="36"/>
  <c r="L78" i="36"/>
  <c r="M78" i="36" s="1"/>
  <c r="I78" i="36"/>
  <c r="L77" i="36"/>
  <c r="M77" i="36" s="1"/>
  <c r="I77" i="36"/>
  <c r="L82" i="36"/>
  <c r="M82" i="36" s="1"/>
  <c r="I82" i="36"/>
  <c r="I81" i="36"/>
  <c r="L66" i="36"/>
  <c r="M66" i="36" s="1"/>
  <c r="I66" i="36"/>
  <c r="L52" i="36"/>
  <c r="M52" i="36" s="1"/>
  <c r="I52" i="36"/>
  <c r="L51" i="36"/>
  <c r="M51" i="36" s="1"/>
  <c r="I51" i="36"/>
  <c r="I50" i="36"/>
  <c r="I55" i="36"/>
  <c r="I54" i="36"/>
  <c r="L53" i="36"/>
  <c r="M53" i="36" s="1"/>
  <c r="I53" i="36"/>
  <c r="L111" i="36"/>
  <c r="M111" i="36" s="1"/>
  <c r="I111" i="36"/>
  <c r="L103" i="36"/>
  <c r="M103" i="36" s="1"/>
  <c r="I103" i="36"/>
  <c r="L102" i="36"/>
  <c r="M102" i="36" s="1"/>
  <c r="I102" i="36"/>
  <c r="L101" i="36"/>
  <c r="M101" i="36" s="1"/>
  <c r="I101" i="36"/>
  <c r="I91" i="36"/>
  <c r="L56" i="36"/>
  <c r="M56" i="36" s="1"/>
  <c r="I56" i="36"/>
  <c r="L67" i="36"/>
  <c r="M67" i="36" s="1"/>
  <c r="I67" i="36"/>
  <c r="L112" i="36"/>
  <c r="M112" i="36" s="1"/>
  <c r="I112" i="36"/>
  <c r="L81" i="36" l="1"/>
  <c r="M81" i="36" s="1"/>
  <c r="L58" i="36"/>
  <c r="M58" i="36" s="1"/>
  <c r="I58" i="36"/>
  <c r="L57" i="36"/>
  <c r="M57" i="36" s="1"/>
  <c r="I57" i="36"/>
  <c r="B6" i="14" l="1"/>
  <c r="B5" i="14"/>
  <c r="H44" i="35" l="1"/>
  <c r="G44" i="35"/>
  <c r="C38" i="35"/>
  <c r="B38" i="35"/>
  <c r="H55" i="35"/>
  <c r="G55" i="35"/>
  <c r="C57" i="35"/>
  <c r="B57" i="35"/>
  <c r="E10" i="14" l="1"/>
  <c r="E9" i="14"/>
  <c r="C10" i="14"/>
  <c r="C9" i="14"/>
  <c r="G28" i="35"/>
  <c r="F28" i="35"/>
  <c r="E28" i="35"/>
  <c r="N131" i="36"/>
  <c r="N25" i="36" s="1"/>
  <c r="K131" i="36"/>
  <c r="K25" i="36" s="1"/>
  <c r="J131" i="36"/>
  <c r="J25" i="36" s="1"/>
  <c r="H131" i="36"/>
  <c r="H25" i="36" s="1"/>
  <c r="G131" i="36"/>
  <c r="G25" i="36" s="1"/>
  <c r="L130" i="36"/>
  <c r="M130" i="36" s="1"/>
  <c r="I130" i="36"/>
  <c r="L129" i="36"/>
  <c r="I129" i="36"/>
  <c r="N128" i="36"/>
  <c r="M128" i="36"/>
  <c r="L128" i="36"/>
  <c r="K128" i="36"/>
  <c r="J128" i="36"/>
  <c r="I128" i="36"/>
  <c r="H128" i="36"/>
  <c r="G128" i="36"/>
  <c r="N122" i="36"/>
  <c r="N24" i="36" s="1"/>
  <c r="K122" i="36"/>
  <c r="K24" i="36" s="1"/>
  <c r="J122" i="36"/>
  <c r="J24" i="36" s="1"/>
  <c r="H122" i="36"/>
  <c r="H24" i="36" s="1"/>
  <c r="G122" i="36"/>
  <c r="G24" i="36" s="1"/>
  <c r="L121" i="36"/>
  <c r="M121" i="36" s="1"/>
  <c r="I121" i="36"/>
  <c r="L120" i="36"/>
  <c r="M120" i="36" s="1"/>
  <c r="I120" i="36"/>
  <c r="L119" i="36"/>
  <c r="M119" i="36" s="1"/>
  <c r="I119" i="36"/>
  <c r="N118" i="36"/>
  <c r="M118" i="36"/>
  <c r="L118" i="36"/>
  <c r="K118" i="36"/>
  <c r="J118" i="36"/>
  <c r="I118" i="36"/>
  <c r="H118" i="36"/>
  <c r="G118" i="36"/>
  <c r="N114" i="36"/>
  <c r="N23" i="36" s="1"/>
  <c r="K114" i="36"/>
  <c r="K23" i="36" s="1"/>
  <c r="J114" i="36"/>
  <c r="J23" i="36" s="1"/>
  <c r="H114" i="36"/>
  <c r="H23" i="36" s="1"/>
  <c r="G114" i="36"/>
  <c r="G23" i="36" s="1"/>
  <c r="L113" i="36"/>
  <c r="M113" i="36" s="1"/>
  <c r="I113" i="36"/>
  <c r="N110" i="36"/>
  <c r="M110" i="36"/>
  <c r="L110" i="36"/>
  <c r="K110" i="36"/>
  <c r="J110" i="36"/>
  <c r="I110" i="36"/>
  <c r="H110" i="36"/>
  <c r="G110" i="36"/>
  <c r="N106" i="36"/>
  <c r="N22" i="36" s="1"/>
  <c r="K106" i="36"/>
  <c r="K22" i="36" s="1"/>
  <c r="J106" i="36"/>
  <c r="J22" i="36" s="1"/>
  <c r="H106" i="36"/>
  <c r="H22" i="36" s="1"/>
  <c r="G106" i="36"/>
  <c r="G22" i="36" s="1"/>
  <c r="L105" i="36"/>
  <c r="M105" i="36" s="1"/>
  <c r="I105" i="36"/>
  <c r="L104" i="36"/>
  <c r="M104" i="36" s="1"/>
  <c r="I104" i="36"/>
  <c r="L90" i="36"/>
  <c r="I90" i="36"/>
  <c r="N89" i="36"/>
  <c r="M89" i="36"/>
  <c r="L89" i="36"/>
  <c r="K89" i="36"/>
  <c r="J89" i="36"/>
  <c r="I89" i="36"/>
  <c r="H89" i="36"/>
  <c r="G89" i="36"/>
  <c r="N85" i="36"/>
  <c r="N21" i="36" s="1"/>
  <c r="K85" i="36"/>
  <c r="K21" i="36" s="1"/>
  <c r="J85" i="36"/>
  <c r="J21" i="36" s="1"/>
  <c r="H85" i="36"/>
  <c r="H21" i="36" s="1"/>
  <c r="G85" i="36"/>
  <c r="G21" i="36" s="1"/>
  <c r="L84" i="36"/>
  <c r="M84" i="36" s="1"/>
  <c r="I84" i="36"/>
  <c r="L83" i="36"/>
  <c r="M83" i="36" s="1"/>
  <c r="I83" i="36"/>
  <c r="L76" i="36"/>
  <c r="M76" i="36" s="1"/>
  <c r="I76" i="36"/>
  <c r="N75" i="36"/>
  <c r="M75" i="36"/>
  <c r="L75" i="36"/>
  <c r="K75" i="36"/>
  <c r="J75" i="36"/>
  <c r="I75" i="36"/>
  <c r="H75" i="36"/>
  <c r="G75" i="36"/>
  <c r="N71" i="36"/>
  <c r="N20" i="36" s="1"/>
  <c r="K71" i="36"/>
  <c r="K20" i="36" s="1"/>
  <c r="J71" i="36"/>
  <c r="J20" i="36" s="1"/>
  <c r="H71" i="36"/>
  <c r="H20" i="36" s="1"/>
  <c r="G71" i="36"/>
  <c r="G20" i="36" s="1"/>
  <c r="L70" i="36"/>
  <c r="M70" i="36" s="1"/>
  <c r="I70" i="36"/>
  <c r="L69" i="36"/>
  <c r="M69" i="36" s="1"/>
  <c r="I69" i="36"/>
  <c r="L68" i="36"/>
  <c r="M68" i="36" s="1"/>
  <c r="I68" i="36"/>
  <c r="L65" i="36"/>
  <c r="M65" i="36" s="1"/>
  <c r="I65" i="36"/>
  <c r="L64" i="36"/>
  <c r="I64" i="36"/>
  <c r="N63" i="36"/>
  <c r="M63" i="36"/>
  <c r="L63" i="36"/>
  <c r="K63" i="36"/>
  <c r="J63" i="36"/>
  <c r="I63" i="36"/>
  <c r="H63" i="36"/>
  <c r="G63" i="36"/>
  <c r="N19" i="36"/>
  <c r="K19" i="36"/>
  <c r="J19" i="36"/>
  <c r="H19" i="36"/>
  <c r="G19" i="36"/>
  <c r="L48" i="36"/>
  <c r="M48" i="36" s="1"/>
  <c r="I48" i="36"/>
  <c r="N47" i="36"/>
  <c r="M47" i="36"/>
  <c r="L47" i="36"/>
  <c r="K47" i="36"/>
  <c r="J47" i="36"/>
  <c r="I47" i="36"/>
  <c r="H47" i="36"/>
  <c r="G47" i="36"/>
  <c r="D26" i="36"/>
  <c r="D25" i="36"/>
  <c r="D24" i="36"/>
  <c r="D23" i="36"/>
  <c r="D22" i="36"/>
  <c r="D21" i="36"/>
  <c r="D20" i="36"/>
  <c r="D19" i="36"/>
  <c r="I114" i="36" l="1"/>
  <c r="I23" i="36" s="1"/>
  <c r="I131" i="36"/>
  <c r="I25" i="36" s="1"/>
  <c r="I71" i="36"/>
  <c r="I20" i="36" s="1"/>
  <c r="K133" i="36"/>
  <c r="K26" i="36" s="1"/>
  <c r="L71" i="36"/>
  <c r="L20" i="36" s="1"/>
  <c r="M20" i="36" s="1"/>
  <c r="G133" i="36"/>
  <c r="G26" i="36" s="1"/>
  <c r="C14" i="14" s="1"/>
  <c r="N133" i="36"/>
  <c r="N26" i="36" s="1"/>
  <c r="E14" i="14" s="1"/>
  <c r="I85" i="36"/>
  <c r="I21" i="36" s="1"/>
  <c r="L131" i="36"/>
  <c r="M131" i="36" s="1"/>
  <c r="H133" i="36"/>
  <c r="F129" i="36" s="1"/>
  <c r="I19" i="36"/>
  <c r="L106" i="36"/>
  <c r="M106" i="36" s="1"/>
  <c r="I106" i="36"/>
  <c r="I22" i="36" s="1"/>
  <c r="I122" i="36"/>
  <c r="I24" i="36" s="1"/>
  <c r="J133" i="36"/>
  <c r="J26" i="36" s="1"/>
  <c r="L85" i="36"/>
  <c r="M64" i="36"/>
  <c r="L114" i="36"/>
  <c r="L122" i="36"/>
  <c r="M90" i="36"/>
  <c r="M129" i="36"/>
  <c r="L25" i="36" l="1"/>
  <c r="M25" i="36" s="1"/>
  <c r="M71" i="36"/>
  <c r="L22" i="36"/>
  <c r="M22" i="36" s="1"/>
  <c r="H26" i="36"/>
  <c r="D14" i="14" s="1"/>
  <c r="I133" i="36"/>
  <c r="I26" i="36" s="1"/>
  <c r="L24" i="36"/>
  <c r="M24" i="36" s="1"/>
  <c r="M122" i="36"/>
  <c r="L19" i="36"/>
  <c r="M19" i="36" s="1"/>
  <c r="M59" i="36"/>
  <c r="L23" i="36"/>
  <c r="M23" i="36" s="1"/>
  <c r="M114" i="36"/>
  <c r="M85" i="36"/>
  <c r="L21" i="36"/>
  <c r="M21" i="36" s="1"/>
  <c r="L133" i="36"/>
  <c r="L26" i="36" l="1"/>
  <c r="F14" i="14" s="1"/>
  <c r="M133" i="36"/>
  <c r="M26" i="36" l="1"/>
  <c r="B27" i="36"/>
  <c r="B28" i="36" s="1"/>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<sst xmlns="http://schemas.openxmlformats.org/spreadsheetml/2006/main" count="349" uniqueCount="265">
  <si>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</si>
  <si>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</si>
  <si>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</si>
  <si>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</si>
  <si>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</si>
  <si>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</si>
  <si>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</si>
  <si>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</si>
  <si>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</si>
  <si>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</si>
  <si>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</si>
  <si>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</si>
  <si>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</si>
  <si>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</si>
  <si>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</si>
  <si>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</si>
  <si>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</si>
  <si>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</si>
  <si>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</si>
  <si>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</si>
  <si>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</si>
  <si>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</si>
  <si>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</si>
  <si>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</si>
  <si>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</si>
  <si>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</si>
  <si>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</si>
  <si>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</si>
  <si>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</si>
  <si>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</si>
  <si>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</si>
  <si>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</si>
  <si>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</si>
  <si>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</si>
  <si>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</si>
  <si>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</si>
  <si>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</si>
  <si>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WISE &amp; Healthy Aging</t>
  </si>
  <si>
    <t>PROGRAM NAME:</t>
  </si>
  <si>
    <t>Club WISE + WISE Diner (Member Services)</t>
  </si>
  <si>
    <t>REPORTING PERIOD:</t>
  </si>
  <si>
    <t>FY 2023-24 Program Budget: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</si>
  <si>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</si>
  <si>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</si>
  <si>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</si>
  <si>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</si>
  <si>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</si>
  <si>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</si>
  <si>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</si>
  <si>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</si>
  <si>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</si>
  <si>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Senior/Executive Management</t>
  </si>
  <si>
    <t>Mid-Year Report (1st Period): 7/1/23 - 12/31/23</t>
  </si>
  <si>
    <t>Administrative Support</t>
  </si>
  <si>
    <t>Year-End Report (2nd Period): 7/1/23 - 6/30/24</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</si>
  <si>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</si>
  <si>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</si>
  <si>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</si>
  <si>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</si>
  <si>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</si>
  <si>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</si>
  <si>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</si>
  <si>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</si>
  <si>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 FTE to Program</t>
  </si>
  <si>
    <t>Nikki Davis</t>
  </si>
  <si>
    <t>VP of Program Administration</t>
  </si>
  <si>
    <t>Eaven Hardy</t>
  </si>
  <si>
    <t>Member Services Supervisor</t>
  </si>
  <si>
    <t>Eva Jimenez</t>
  </si>
  <si>
    <t>Nutrition/Adult Day Supervisor</t>
  </si>
  <si>
    <t>Trenee Armstrong</t>
  </si>
  <si>
    <t>Member Services Coordinator</t>
  </si>
  <si>
    <t>Danielle Brinney</t>
  </si>
  <si>
    <t>Member Services Specialist</t>
  </si>
  <si>
    <t>Todd Moore</t>
  </si>
  <si>
    <t>Susan Stenhouse</t>
  </si>
  <si>
    <t>Heidi Yates</t>
  </si>
  <si>
    <t>Front Desk/Member Services Coordinator</t>
  </si>
  <si>
    <t>1A.  Staff Salaries TOTAL</t>
  </si>
  <si>
    <t>1B.  Staff Fringe Benefits</t>
  </si>
  <si>
    <t>List each fringe benefit as a percentage of total staff salaries listed above (FICA, SUI, Workers’ Compensation, Medical Insurance, Retirement, etc.).</t>
  </si>
  <si>
    <t>Description</t>
  </si>
  <si>
    <t>FICA 7.65% of Gross Salary</t>
  </si>
  <si>
    <t>Worker's Compensation 1% of Gross Salary</t>
  </si>
  <si>
    <t>SUI .85% of Gross Salary</t>
  </si>
  <si>
    <t>Health Benefits 5% of Gross Salary</t>
  </si>
  <si>
    <t>Retirement Benefits .5% of Gross Salary</t>
  </si>
  <si>
    <t>1B.  Staff Fringe Benefits TOTAL</t>
  </si>
  <si>
    <t>2.  Consultant Services</t>
  </si>
  <si>
    <t>List each consultant to be funded. Include type of service, total budgeted expense, and any additional information to support the use of consultants as opposed to staff or volunteers.</t>
  </si>
  <si>
    <t>Audit Fees (69.91 rate x 6 FTE x 12 months=  $5,034)</t>
  </si>
  <si>
    <t>Payroll Processing (22.25 rate x 6 FTE x 12 months = $1,602)</t>
  </si>
  <si>
    <t>Contractor's General - IT Support (185 per service call x 20 calls per year = $3,700)</t>
  </si>
  <si>
    <t>Contractor's - Day Trips 1 Trips @ $1,600 per trip</t>
  </si>
  <si>
    <t>Contractor's - Select Instructor Compensation {50 classes @ $100 per class}</t>
  </si>
  <si>
    <t xml:space="preserve">Subcontracted with local food caterer for meals delivery.  City of Santa Monica pays  $99,000 year ( 16,740 meals @ $5.92)  </t>
  </si>
  <si>
    <t>Contractor's - Excurions [3-4 Day trips] 10 @ $3,500 per trip</t>
  </si>
  <si>
    <t>2.  Consultant Services TOTAL</t>
  </si>
  <si>
    <t>3.  Operating Expenses</t>
  </si>
  <si>
    <t>List all operating expenses [e.g., space/rent expense, utilities, facility maintenance, equipment, insurance, office supplies, printing, audit fees, travel, training, etc.].</t>
  </si>
  <si>
    <t>Occupancy [Utilities: Electric, Gas, Water, Trash] ($162,000[annual cost]x 31.27%[ % of sq ft occupied by MEMBER SERVICES]=$50,657)</t>
  </si>
  <si>
    <t>Security ($57,200 [annual costs] x 31.27% [% of sq ft occupied by MEMBER SERVICES] = $17,886)</t>
  </si>
  <si>
    <t>Janitorial ($38,400 [annual costs] x 31.27% [% of sq ft occupied by MEMBER SERVICES] = $12,008)</t>
  </si>
  <si>
    <t>Local Travel (1000 miles x .655 per miles)</t>
  </si>
  <si>
    <t>Insurance ($50 rate x 6 FTE x 12 months= $3,600)</t>
  </si>
  <si>
    <t>Office Supplies (Approximately $200per month x 12 months)</t>
  </si>
  <si>
    <t>Program Supplies (Approximately $300per month x 12 months)</t>
  </si>
  <si>
    <t>Telephone (65.51 rate x 6 FTE x 12 months = $4,717)</t>
  </si>
  <si>
    <t>Postage &amp; Shipping (5000 items x .60)</t>
  </si>
  <si>
    <t>Copier Costs (10,000 copies x .10cent per copy = $1,000)</t>
  </si>
  <si>
    <t>Staff Training ($125 Per Training Sessions for 8 = $1,000)</t>
  </si>
  <si>
    <t>Publications &amp; Subscriptions [Online &amp; Printed] ($150 per month x 12 months = $1,800)</t>
  </si>
  <si>
    <t>Hiring Fees [Employment Ads, backgroung checks and testing] (Approximately $125 per month x 12 months= $1,500)</t>
  </si>
  <si>
    <t>Volunteer Recognition($50 x 40=$2,000)</t>
  </si>
  <si>
    <t>3.  Operating Expenses TOTAL</t>
  </si>
  <si>
    <t>4.  Direct Client Support</t>
  </si>
  <si>
    <t>List any expenses associated with direct service provision, individual client support, scholarships, or stipends. Include estimated number of recipients.</t>
  </si>
  <si>
    <t>Scholarships &amp; Subsidies- Membership &amp; Day Trips</t>
  </si>
  <si>
    <t xml:space="preserve">($100 x 45 days =$4,500) </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</si>
  <si>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</si>
  <si>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</si>
  <si>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</si>
  <si>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</si>
  <si>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</si>
  <si>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</si>
  <si>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</si>
  <si>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</si>
  <si>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</si>
  <si>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</si>
  <si>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</si>
  <si>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</si>
  <si>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</si>
  <si>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</si>
  <si>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</si>
  <si>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</si>
  <si>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</si>
  <si>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</si>
  <si>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</si>
  <si>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</si>
  <si>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</si>
  <si>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</si>
  <si>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</si>
  <si>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</si>
  <si>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</si>
  <si>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</si>
  <si>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</si>
  <si>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</si>
  <si>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</si>
  <si>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</si>
  <si>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</si>
  <si>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</si>
  <si>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</si>
  <si>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 </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</si>
  <si>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</si>
  <si>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</si>
  <si>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</si>
  <si>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</si>
  <si>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</si>
  <si>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</si>
  <si>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</si>
  <si>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</si>
  <si>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</si>
  <si>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</si>
  <si>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</si>
  <si>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</si>
  <si>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</si>
  <si>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</si>
  <si>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</si>
  <si>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</si>
  <si>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</si>
  <si>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</si>
  <si>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</si>
  <si>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</si>
  <si>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</si>
  <si>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</si>
  <si>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</si>
  <si>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</si>
  <si>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</si>
  <si>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</si>
  <si>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</si>
  <si>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</si>
  <si>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</si>
  <si>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</si>
  <si>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</si>
  <si>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</si>
  <si>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</si>
  <si>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</si>
  <si>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</si>
  <si>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</si>
  <si>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</si>
  <si>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</si>
  <si>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</si>
  <si>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</si>
  <si>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</si>
  <si>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</si>
  <si>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</si>
  <si>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</si>
  <si>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</si>
  <si>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</si>
  <si>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</si>
  <si>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</si>
  <si>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</si>
  <si>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</si>
  <si>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</si>
  <si>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</si>
  <si>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</si>
  <si>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Health &amp; Wellness</t>
  </si>
  <si>
    <t>Improve Food Security</t>
  </si>
  <si>
    <t>Output</t>
  </si>
  <si>
    <t># of meals served</t>
  </si>
  <si>
    <t>16,740 meals</t>
  </si>
  <si>
    <t>MySeniorCenter database</t>
  </si>
  <si>
    <t>Increased food insecurity among older adults</t>
  </si>
  <si>
    <t>Due to member demand, meal service exceeded the goal.</t>
  </si>
  <si>
    <t>Outcome</t>
  </si>
  <si>
    <t>% SMPP report increase access to nutritional food</t>
  </si>
  <si>
    <t>Member Services Survey</t>
  </si>
  <si>
    <t>Lifelong Learning</t>
  </si>
  <si>
    <t>Increase adult &amp; community education</t>
  </si>
  <si>
    <t xml:space="preserve"># New or renewal SMPP memberships in Club WISE </t>
  </si>
  <si>
    <t xml:space="preserve">511 SMPP </t>
  </si>
  <si>
    <t>WISE has made an effort to enroll and renew memberships early in the year.</t>
  </si>
  <si>
    <t>The program experienced an increase in membership as a result of ongoing marketing efforts.</t>
  </si>
  <si>
    <t>% SMPP Members will demonstrate membership engagement by participating in at least 3 courses/events over the 12-month period</t>
  </si>
  <si>
    <t>Survey Monkey</t>
  </si>
  <si>
    <t>Improve physical health</t>
  </si>
  <si>
    <t># SMPP have access to meal service and social engagement options</t>
  </si>
  <si>
    <t xml:space="preserve">850 SMPP </t>
  </si>
  <si>
    <t>WISE has made an effort to enroll and renew memberships early in the year for maximum engagement.</t>
  </si>
  <si>
    <t xml:space="preserve">Member demand for meal service served as a contributor for increased access by SMPP to other Wise offerings. </t>
  </si>
  <si>
    <t>% Club WISE &amp; WISE Diner SMPP members will strongly agree / agree that having program engagement and/or having a meal positively affects their well-being</t>
  </si>
  <si>
    <t>Secondary Indicators (Note: secondary indicators are optional. Indicators listed here can be used to further illustrate programs impact).</t>
  </si>
  <si>
    <t># SMPP enrolled in digital literacy training</t>
  </si>
  <si>
    <t xml:space="preserve"> 186 SMPP</t>
  </si>
  <si>
    <t>Target at &lt;50% at mid year due to reduced member interest following the exhaust of "free" laptops with training. Org looking to target SMPP with shorter in-person digitial literacy tutorials minus free hardware claim.</t>
  </si>
  <si>
    <t>The goal at FYE remained unattained as member demand for digital literacy decreased after the supply of free laptops was exhausted in the previous performance period.</t>
  </si>
  <si>
    <t>% SMPP will have learned a new computer skill</t>
  </si>
  <si>
    <t>Pre and Post survey</t>
  </si>
  <si>
    <t>Improve connections between Santa Monica residents and their community</t>
  </si>
  <si>
    <t># SMPP members offered engagement options for social activities</t>
  </si>
  <si>
    <t>Newsletter distribution #s</t>
  </si>
  <si>
    <t xml:space="preserve">WISE has enrolled more members and thus distributed more newsletters. </t>
  </si>
  <si>
    <t>% Club WISE SMPP members strongly agree/agree that they feel more connected and less socially isolated due to their participation in Club WISE activities</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</si>
  <si>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</si>
  <si>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</si>
  <si>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</si>
  <si>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</si>
  <si>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</si>
  <si>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</si>
  <si>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</si>
  <si>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</si>
  <si>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</si>
  <si>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</si>
  <si>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</si>
  <si>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</si>
  <si>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</si>
  <si>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</si>
  <si>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</si>
  <si>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</si>
  <si>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</si>
  <si>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</si>
  <si>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</si>
  <si>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</si>
  <si>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</si>
  <si>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Despite an increase in memberships, the average of three visits per member did not meet our goal. Although many members engaged in at least one activity, repeat visits remained limited. This may be partially due to technical errors, for example, members not swiping in for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</si>
</sst>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5"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0"/>
      <color theme="1"/>
      <name val="Arial"/>
      <family val="2"/>
    </font>
  </fonts>
  <fills count="1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D9D9"/>
        <bgColor rgb="FF000000"/>
      </patternFill>
    </fill>
  </fills>
  <borders count="6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72">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164" fontId="1" fillId="11" borderId="19" xfId="2" applyNumberFormat="1" applyFont="1" applyFill="1" applyBorder="1" applyProtection="1"/>
    <xf numFmtId="164" fontId="1" fillId="11" borderId="20" xfId="2" applyNumberFormat="1" applyFont="1" applyFill="1" applyBorder="1" applyProtection="1"/>
    <xf numFmtId="0" fontId="1" fillId="0" borderId="0" xfId="3" applyAlignment="1">
      <alignment horizontal="left" vertical="center" wrapText="1"/>
    </xf>
    <xf numFmtId="0" fontId="12" fillId="0" borderId="0" xfId="3" applyFont="1" applyAlignment="1">
      <alignment horizontal="left" vertical="center"/>
    </xf>
    <xf numFmtId="0" fontId="2" fillId="0" borderId="0" xfId="3" applyFont="1"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12" fillId="0" borderId="0" xfId="3" applyFont="1" applyAlignment="1">
      <alignment horizontal="left" vertical="center" wrapText="1"/>
    </xf>
    <xf numFmtId="0" fontId="12" fillId="0" borderId="0" xfId="3" applyFont="1" applyAlignment="1">
      <alignment horizontal="center" vertical="center" wrapText="1"/>
    </xf>
    <xf numFmtId="0" fontId="33" fillId="5" borderId="3" xfId="3" applyFont="1" applyFill="1" applyBorder="1"/>
    <xf numFmtId="0" fontId="2" fillId="5" borderId="2" xfId="3" applyFont="1" applyFill="1" applyBorder="1"/>
    <xf numFmtId="0" fontId="2" fillId="5" borderId="1"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2" fillId="0" borderId="0" xfId="3" applyFont="1"/>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34" fillId="11" borderId="14" xfId="0" applyFont="1" applyFill="1" applyBorder="1" applyAlignment="1">
      <alignment horizontal="center" vertical="center" wrapText="1"/>
    </xf>
    <xf numFmtId="0" fontId="27" fillId="11" borderId="14" xfId="0" applyFont="1" applyFill="1" applyBorder="1" applyAlignment="1">
      <alignment horizontal="center" vertical="center" wrapText="1"/>
    </xf>
    <xf numFmtId="0" fontId="0" fillId="6" borderId="50" xfId="0" applyFill="1" applyBorder="1"/>
    <xf numFmtId="0" fontId="1" fillId="6" borderId="51" xfId="0" applyFont="1" applyFill="1" applyBorder="1" applyAlignment="1">
      <alignment wrapText="1"/>
    </xf>
    <xf numFmtId="0" fontId="1" fillId="15" borderId="50" xfId="0" applyFont="1" applyFill="1" applyBorder="1"/>
    <xf numFmtId="0" fontId="1" fillId="15" borderId="30" xfId="0" applyFont="1" applyFill="1" applyBorder="1" applyAlignment="1">
      <alignment wrapText="1"/>
    </xf>
    <xf numFmtId="9" fontId="0" fillId="11" borderId="51" xfId="0" applyNumberFormat="1" applyFill="1" applyBorder="1"/>
    <xf numFmtId="9" fontId="27" fillId="11" borderId="14" xfId="0" applyNumberFormat="1" applyFont="1" applyFill="1" applyBorder="1" applyAlignment="1">
      <alignment horizontal="center" vertical="center" wrapText="1"/>
    </xf>
    <xf numFmtId="9" fontId="0" fillId="6" borderId="50" xfId="0" applyNumberFormat="1" applyFill="1" applyBorder="1"/>
    <xf numFmtId="0" fontId="0" fillId="6" borderId="51" xfId="0" applyFill="1" applyBorder="1"/>
    <xf numFmtId="9" fontId="0" fillId="15" borderId="58" xfId="0" applyNumberFormat="1" applyFill="1" applyBorder="1"/>
    <xf numFmtId="0" fontId="0" fillId="15" borderId="57" xfId="0" applyFill="1" applyBorder="1"/>
    <xf numFmtId="0" fontId="34" fillId="6" borderId="51" xfId="0" applyFont="1" applyFill="1" applyBorder="1" applyAlignment="1">
      <alignment wrapText="1"/>
    </xf>
    <xf numFmtId="0" fontId="1" fillId="15" borderId="58" xfId="0" applyFont="1" applyFill="1" applyBorder="1"/>
    <xf numFmtId="0" fontId="1" fillId="15" borderId="57" xfId="0" applyFont="1" applyFill="1" applyBorder="1" applyAlignment="1">
      <alignment wrapText="1"/>
    </xf>
    <xf numFmtId="9" fontId="1" fillId="15" borderId="58" xfId="0" applyNumberFormat="1" applyFont="1" applyFill="1" applyBorder="1"/>
    <xf numFmtId="0" fontId="1" fillId="11" borderId="14"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34" fillId="13" borderId="14" xfId="0" applyFont="1" applyFill="1" applyBorder="1" applyAlignment="1">
      <alignment horizontal="center" wrapText="1"/>
    </xf>
    <xf numFmtId="9" fontId="0" fillId="13" borderId="51" xfId="0" applyNumberFormat="1" applyFill="1" applyBorder="1"/>
    <xf numFmtId="9" fontId="27" fillId="13" borderId="14" xfId="0" applyNumberFormat="1" applyFont="1" applyFill="1" applyBorder="1" applyAlignment="1">
      <alignment horizontal="center" vertical="center" wrapText="1"/>
    </xf>
    <xf numFmtId="10" fontId="0" fillId="15" borderId="58" xfId="0" applyNumberFormat="1" applyFill="1" applyBorder="1"/>
    <xf numFmtId="0" fontId="27" fillId="13" borderId="32" xfId="0" applyFont="1" applyFill="1" applyBorder="1" applyAlignment="1">
      <alignment horizontal="center" vertical="center" wrapText="1"/>
    </xf>
    <xf numFmtId="0" fontId="0" fillId="15" borderId="58" xfId="0" applyFill="1" applyBorder="1"/>
    <xf numFmtId="0" fontId="0" fillId="13" borderId="51" xfId="0" applyFill="1" applyBorder="1"/>
    <xf numFmtId="0" fontId="0" fillId="6" borderId="52" xfId="0" applyFill="1" applyBorder="1"/>
    <xf numFmtId="0" fontId="0" fillId="6" borderId="53" xfId="0" applyFill="1" applyBorder="1"/>
    <xf numFmtId="0" fontId="0" fillId="15" borderId="59" xfId="0" applyFill="1" applyBorder="1"/>
    <xf numFmtId="0" fontId="0" fillId="15" borderId="60" xfId="0" applyFill="1" applyBorder="1"/>
    <xf numFmtId="0" fontId="0" fillId="13" borderId="53" xfId="0" applyFill="1" applyBorder="1"/>
    <xf numFmtId="0" fontId="2" fillId="0" borderId="0" xfId="0" applyFont="1"/>
    <xf numFmtId="0" fontId="1" fillId="0" borderId="0" xfId="0" applyFont="1" applyAlignment="1">
      <alignment wrapText="1"/>
    </xf>
    <xf numFmtId="0" fontId="2" fillId="0" borderId="0" xfId="3" applyFont="1" applyAlignment="1">
      <alignment vertical="center" wrapText="1"/>
    </xf>
    <xf numFmtId="0" fontId="2" fillId="0" borderId="0" xfId="3" applyFont="1" applyAlignment="1">
      <alignment horizontal="left" vertical="center"/>
    </xf>
    <xf numFmtId="0" fontId="1" fillId="0" borderId="0" xfId="3" applyAlignment="1">
      <alignment vertical="center" wrapText="1"/>
    </xf>
    <xf numFmtId="0" fontId="1" fillId="0" borderId="0" xfId="3" applyAlignment="1">
      <alignment vertical="center"/>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15" borderId="14" xfId="0" applyFont="1" applyFill="1" applyBorder="1" applyAlignment="1">
      <alignment wrapText="1"/>
    </xf>
    <xf numFmtId="0" fontId="4" fillId="15" borderId="33" xfId="0" applyFont="1" applyFill="1" applyBorder="1" applyAlignment="1">
      <alignment wrapText="1"/>
    </xf>
    <xf numFmtId="0" fontId="4" fillId="0" borderId="0" xfId="3" applyFont="1" applyAlignment="1">
      <alignment horizontal="right" vertical="center"/>
    </xf>
    <xf numFmtId="0" fontId="4" fillId="0" borderId="0" xfId="3" applyFont="1" applyAlignment="1">
      <alignment horizontal="center" vertical="center" wrapText="1"/>
    </xf>
    <xf numFmtId="0" fontId="4" fillId="15" borderId="30" xfId="0" applyFont="1" applyFill="1" applyBorder="1" applyAlignment="1">
      <alignment wrapText="1"/>
    </xf>
    <xf numFmtId="0" fontId="4" fillId="15" borderId="57" xfId="0" applyFont="1" applyFill="1" applyBorder="1" applyAlignment="1">
      <alignment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24" fillId="15" borderId="14" xfId="0" applyFont="1" applyFill="1" applyBorder="1" applyAlignment="1">
      <alignment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24" fillId="15" borderId="33" xfId="0" applyFont="1" applyFill="1" applyBorder="1" applyAlignment="1">
      <alignment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43" fontId="19" fillId="6" borderId="14" xfId="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43" fontId="18" fillId="6" borderId="14" xfId="1" applyFont="1" applyFill="1" applyBorder="1" applyAlignment="1" applyProtection="1">
      <alignment vertical="center"/>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textRotation="90"/>
    </xf>
    <xf numFmtId="0" fontId="3" fillId="5" borderId="3" xfId="3" applyFont="1" applyFill="1" applyBorder="1"/>
    <xf numFmtId="0" fontId="1" fillId="0" borderId="8" xfId="3" applyBorder="1"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0" fontId="2" fillId="4" borderId="47"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55"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55" xfId="3" applyNumberFormat="1" applyFill="1" applyBorder="1" applyAlignment="1">
      <alignment horizontal="left" vertical="top"/>
    </xf>
    <xf numFmtId="42" fontId="1" fillId="6" borderId="18" xfId="2" applyNumberFormat="1" applyFont="1" applyFill="1" applyBorder="1" applyProtection="1"/>
    <xf numFmtId="42" fontId="1" fillId="6" borderId="26" xfId="2" applyNumberFormat="1" applyFont="1" applyFill="1" applyBorder="1" applyProtection="1"/>
    <xf numFmtId="49" fontId="1" fillId="11" borderId="27" xfId="3" applyNumberFormat="1" applyFill="1" applyBorder="1" applyAlignment="1">
      <alignment horizontal="left" vertical="top"/>
    </xf>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49" fontId="1" fillId="11" borderId="56" xfId="0" applyNumberFormat="1" applyFont="1" applyFill="1" applyBorder="1" applyAlignment="1">
      <alignment horizontal="left" vertical="top"/>
    </xf>
    <xf numFmtId="49" fontId="1" fillId="11" borderId="56" xfId="3" applyNumberFormat="1" applyFill="1" applyBorder="1" applyAlignment="1">
      <alignment horizontal="left" vertical="top"/>
    </xf>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19" fillId="0" borderId="14" xfId="3" quotePrefix="1" applyFont="1" applyBorder="1" applyAlignment="1">
      <alignment horizontal="right" vertical="center"/>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27" fillId="13" borderId="31" xfId="0" applyFont="1" applyFill="1" applyBorder="1" applyAlignment="1">
      <alignment horizontal="center" wrapText="1"/>
    </xf>
    <xf numFmtId="0" fontId="27" fillId="13" borderId="33" xfId="0" applyFont="1" applyFill="1" applyBorder="1" applyAlignment="1">
      <alignment horizontal="center" wrapText="1"/>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34" fillId="13" borderId="31" xfId="0" applyFont="1" applyFill="1" applyBorder="1" applyAlignment="1">
      <alignment horizontal="center" vertical="center" wrapText="1"/>
    </xf>
    <xf numFmtId="0" fontId="34" fillId="13" borderId="33"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111125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D1" sqref="D1"/>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21" t="s">
        <v>0</v>
      </c>
      <c r="B1" s="321"/>
      <c r="C1" s="321"/>
    </row>
    <row r="2" spans="1:3" s="87" customFormat="1" ht="18" x14ac:dyDescent="0.25">
      <c r="A2" s="107"/>
      <c r="B2" s="107" t="s">
        <v>1</v>
      </c>
      <c r="C2" s="107"/>
    </row>
    <row r="3" spans="1:3" s="88" customFormat="1" ht="18" x14ac:dyDescent="0.25">
      <c r="A3" s="321" t="s">
        <v>2</v>
      </c>
      <c r="B3" s="321"/>
      <c r="C3" s="321"/>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22" t="s">
        <v>10</v>
      </c>
      <c r="B9" s="322"/>
      <c r="C9" s="322"/>
    </row>
    <row r="10" spans="1:3" ht="64.5" customHeight="1" x14ac:dyDescent="0.2">
      <c r="A10" s="320" t="s">
        <v>11</v>
      </c>
      <c r="B10" s="320"/>
      <c r="C10" s="320"/>
    </row>
    <row r="11" spans="1:3" ht="45.75" customHeight="1" x14ac:dyDescent="0.2">
      <c r="A11" s="320" t="s">
        <v>12</v>
      </c>
      <c r="B11" s="320"/>
      <c r="C11" s="320"/>
    </row>
    <row r="12" spans="1:3" ht="90" customHeight="1" x14ac:dyDescent="0.2">
      <c r="A12" s="320" t="s">
        <v>13</v>
      </c>
      <c r="B12" s="320"/>
      <c r="C12" s="320"/>
    </row>
    <row r="13" spans="1:3" ht="11.25" customHeight="1" x14ac:dyDescent="0.2">
      <c r="A13" s="320"/>
      <c r="B13" s="320"/>
      <c r="C13" s="320"/>
    </row>
  </sheetData>
  <sheetProtection algorithmName="SHA-512" hashValue="u7aqMPSyi9KihzEIE4/Hx9GvBTr56oWPegB8pRBBzCxHJ4fibMDy5rJTJDwcihAHWT25bG2YGsFwJEIsjvi+Gw==" saltValue="LEVPpEXt7Dfiixszq2EFQA=="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36"/>
  <sheetViews>
    <sheetView showGridLines="0" topLeftCell="A3" zoomScaleNormal="100" workbookViewId="0">
      <selection activeCell="A14" sqref="A14:N14"/>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26"/>
      <c r="C1" s="210"/>
      <c r="D1" s="210"/>
      <c r="E1" s="210"/>
      <c r="F1" s="210"/>
      <c r="G1" s="210"/>
      <c r="H1" s="210"/>
      <c r="I1" s="210"/>
      <c r="J1" s="210"/>
      <c r="K1" s="210"/>
      <c r="L1" s="210"/>
      <c r="M1" s="15"/>
      <c r="N1" s="14"/>
    </row>
    <row r="2" spans="1:14" ht="18" x14ac:dyDescent="0.2">
      <c r="A2" s="24" t="s">
        <v>15</v>
      </c>
      <c r="B2" s="126"/>
      <c r="C2" s="210"/>
      <c r="D2" s="210"/>
      <c r="E2" s="210"/>
      <c r="F2" s="210"/>
      <c r="G2" s="210"/>
      <c r="H2" s="210"/>
      <c r="I2" s="210"/>
      <c r="J2" s="210"/>
      <c r="K2" s="210"/>
      <c r="L2" s="210"/>
      <c r="M2" s="15"/>
      <c r="N2" s="14"/>
    </row>
    <row r="3" spans="1:14" ht="13.5" thickBot="1" x14ac:dyDescent="0.25">
      <c r="A3" s="126"/>
      <c r="B3" s="126"/>
      <c r="C3" s="210"/>
      <c r="D3" s="210"/>
      <c r="E3" s="210"/>
      <c r="F3" s="210"/>
      <c r="G3" s="210"/>
      <c r="H3" s="210"/>
      <c r="I3" s="210"/>
      <c r="J3" s="210"/>
      <c r="K3" s="210"/>
      <c r="L3" s="210"/>
      <c r="M3" s="15"/>
      <c r="N3" s="14"/>
    </row>
    <row r="4" spans="1:14" ht="15.75" thickBot="1" x14ac:dyDescent="0.3">
      <c r="A4" s="211" t="s">
        <v>16</v>
      </c>
      <c r="B4" s="120"/>
      <c r="C4" s="120"/>
      <c r="D4" s="120"/>
      <c r="E4" s="120"/>
      <c r="F4" s="120"/>
      <c r="G4" s="120"/>
      <c r="H4" s="120"/>
      <c r="I4" s="120"/>
      <c r="J4" s="120"/>
      <c r="K4" s="120"/>
      <c r="L4" s="120"/>
      <c r="M4" s="55"/>
      <c r="N4" s="121"/>
    </row>
    <row r="5" spans="1:14" s="126" customFormat="1" ht="28.5" customHeight="1" thickBot="1" x14ac:dyDescent="0.25">
      <c r="A5" s="332" t="s">
        <v>17</v>
      </c>
      <c r="B5" s="333"/>
      <c r="C5" s="333"/>
      <c r="D5" s="333"/>
      <c r="E5" s="333"/>
      <c r="F5" s="333"/>
      <c r="G5" s="333"/>
      <c r="H5" s="333"/>
      <c r="I5" s="333"/>
      <c r="J5" s="333"/>
      <c r="K5" s="333"/>
      <c r="L5" s="333"/>
      <c r="M5" s="333"/>
      <c r="N5" s="334"/>
    </row>
    <row r="6" spans="1:14" ht="16.5" customHeight="1" thickBot="1" x14ac:dyDescent="0.25">
      <c r="A6" s="335" t="s">
        <v>18</v>
      </c>
      <c r="B6" s="336"/>
      <c r="C6" s="336"/>
      <c r="D6" s="336"/>
      <c r="E6" s="336"/>
      <c r="F6" s="336"/>
      <c r="G6" s="336"/>
      <c r="H6" s="336"/>
      <c r="I6" s="336"/>
      <c r="J6" s="336"/>
      <c r="K6" s="336"/>
      <c r="L6" s="336"/>
      <c r="M6" s="336"/>
      <c r="N6" s="337"/>
    </row>
    <row r="7" spans="1:14" s="126" customFormat="1" ht="15" customHeight="1" x14ac:dyDescent="0.2">
      <c r="A7" s="212" t="s">
        <v>19</v>
      </c>
      <c r="B7" s="176"/>
      <c r="C7" s="176"/>
      <c r="N7" s="213"/>
    </row>
    <row r="8" spans="1:14" ht="15" customHeight="1" x14ac:dyDescent="0.2">
      <c r="A8" s="212" t="s">
        <v>20</v>
      </c>
      <c r="B8" s="176"/>
      <c r="C8" s="176"/>
      <c r="M8" s="1"/>
      <c r="N8" s="214"/>
    </row>
    <row r="9" spans="1:14" ht="7.5" customHeight="1" thickBot="1" x14ac:dyDescent="0.25">
      <c r="A9" s="215"/>
      <c r="B9" s="112"/>
      <c r="C9" s="112"/>
      <c r="M9" s="1"/>
      <c r="N9" s="214"/>
    </row>
    <row r="10" spans="1:14" ht="12.75" customHeight="1" thickBot="1" x14ac:dyDescent="0.25">
      <c r="A10" s="335" t="s">
        <v>21</v>
      </c>
      <c r="B10" s="336"/>
      <c r="C10" s="336"/>
      <c r="D10" s="336"/>
      <c r="E10" s="336"/>
      <c r="F10" s="336"/>
      <c r="G10" s="336"/>
      <c r="H10" s="336"/>
      <c r="I10" s="336"/>
      <c r="J10" s="336"/>
      <c r="K10" s="336"/>
      <c r="L10" s="336"/>
      <c r="M10" s="336"/>
      <c r="N10" s="337"/>
    </row>
    <row r="11" spans="1:14" x14ac:dyDescent="0.2">
      <c r="A11" s="340" t="s">
        <v>22</v>
      </c>
      <c r="B11" s="341"/>
      <c r="C11" s="341"/>
      <c r="D11" s="341"/>
      <c r="E11" s="341"/>
      <c r="F11" s="341"/>
      <c r="G11" s="341"/>
      <c r="H11" s="341"/>
      <c r="I11" s="341"/>
      <c r="J11" s="341"/>
      <c r="K11" s="341"/>
      <c r="L11" s="341"/>
      <c r="M11" s="341"/>
      <c r="N11" s="342"/>
    </row>
    <row r="12" spans="1:14" ht="13.5" thickBot="1" x14ac:dyDescent="0.25">
      <c r="A12" s="216" t="s">
        <v>23</v>
      </c>
      <c r="M12" s="1"/>
      <c r="N12" s="214"/>
    </row>
    <row r="13" spans="1:14" ht="12.75" customHeight="1" thickBot="1" x14ac:dyDescent="0.25">
      <c r="A13" s="335" t="s">
        <v>24</v>
      </c>
      <c r="B13" s="336"/>
      <c r="C13" s="336"/>
      <c r="D13" s="336"/>
      <c r="E13" s="336"/>
      <c r="F13" s="336"/>
      <c r="G13" s="336"/>
      <c r="H13" s="336"/>
      <c r="I13" s="336"/>
      <c r="J13" s="336"/>
      <c r="K13" s="336"/>
      <c r="L13" s="336"/>
      <c r="M13" s="336"/>
      <c r="N13" s="337"/>
    </row>
    <row r="14" spans="1:14" s="126" customFormat="1" ht="47.25" customHeight="1" x14ac:dyDescent="0.2">
      <c r="A14" s="338" t="s">
        <v>25</v>
      </c>
      <c r="B14" s="320"/>
      <c r="C14" s="320"/>
      <c r="D14" s="320"/>
      <c r="E14" s="320"/>
      <c r="F14" s="320"/>
      <c r="G14" s="320"/>
      <c r="H14" s="320"/>
      <c r="I14" s="320"/>
      <c r="J14" s="320"/>
      <c r="K14" s="320"/>
      <c r="L14" s="320"/>
      <c r="M14" s="320"/>
      <c r="N14" s="339"/>
    </row>
    <row r="15" spans="1:14" ht="87.75" customHeight="1" thickBot="1" x14ac:dyDescent="0.25">
      <c r="A15" s="323" t="s">
        <v>26</v>
      </c>
      <c r="B15" s="324"/>
      <c r="C15" s="324"/>
      <c r="D15" s="324"/>
      <c r="E15" s="324"/>
      <c r="F15" s="324"/>
      <c r="G15" s="324"/>
      <c r="H15" s="324"/>
      <c r="I15" s="324"/>
      <c r="J15" s="324"/>
      <c r="K15" s="324"/>
      <c r="L15" s="324"/>
      <c r="M15" s="324"/>
      <c r="N15" s="325"/>
    </row>
    <row r="16" spans="1:14" ht="13.5" thickBot="1" x14ac:dyDescent="0.25">
      <c r="A16" s="126"/>
      <c r="B16" s="126"/>
      <c r="C16" s="210"/>
      <c r="D16" s="210"/>
      <c r="E16" s="210"/>
      <c r="F16" s="210"/>
      <c r="G16" s="210"/>
      <c r="H16" s="210"/>
      <c r="I16" s="210"/>
      <c r="J16" s="210"/>
      <c r="K16" s="210"/>
      <c r="L16" s="210"/>
      <c r="M16" s="15"/>
      <c r="N16" s="14"/>
    </row>
    <row r="17" spans="1:14" ht="15.75" thickBot="1" x14ac:dyDescent="0.3">
      <c r="A17" s="211" t="s">
        <v>27</v>
      </c>
      <c r="B17" s="120"/>
      <c r="C17" s="120"/>
      <c r="D17" s="120"/>
      <c r="E17" s="120"/>
      <c r="F17" s="120"/>
      <c r="G17" s="120"/>
      <c r="H17" s="120"/>
      <c r="I17" s="120"/>
      <c r="J17" s="120"/>
      <c r="K17" s="120"/>
      <c r="L17" s="120"/>
      <c r="M17" s="55"/>
      <c r="N17" s="121"/>
    </row>
    <row r="18" spans="1:14" ht="33.75" x14ac:dyDescent="0.2">
      <c r="A18" s="217"/>
      <c r="B18" s="218"/>
      <c r="C18" s="218"/>
      <c r="D18" s="218"/>
      <c r="E18" s="218"/>
      <c r="F18" s="218"/>
      <c r="G18" s="219" t="s">
        <v>28</v>
      </c>
      <c r="H18" s="219" t="s">
        <v>29</v>
      </c>
      <c r="I18" s="219" t="s">
        <v>30</v>
      </c>
      <c r="J18" s="219" t="s">
        <v>31</v>
      </c>
      <c r="K18" s="219" t="s">
        <v>32</v>
      </c>
      <c r="L18" s="219" t="s">
        <v>33</v>
      </c>
      <c r="M18" s="58" t="s">
        <v>34</v>
      </c>
      <c r="N18" s="59" t="s">
        <v>35</v>
      </c>
    </row>
    <row r="19" spans="1:14" x14ac:dyDescent="0.2">
      <c r="A19" s="220" t="s">
        <v>36</v>
      </c>
      <c r="B19" s="221" t="s">
        <v>37</v>
      </c>
      <c r="C19" s="221"/>
      <c r="D19" s="222" t="str">
        <f>A45</f>
        <v>1A.  Staff Salaries</v>
      </c>
      <c r="G19" s="64">
        <f t="shared" ref="G19:K19" si="0">G59</f>
        <v>408398</v>
      </c>
      <c r="H19" s="64">
        <f t="shared" si="0"/>
        <v>267828</v>
      </c>
      <c r="I19" s="64">
        <f t="shared" si="0"/>
        <v>140570</v>
      </c>
      <c r="J19" s="64">
        <f t="shared" si="0"/>
        <v>155496</v>
      </c>
      <c r="K19" s="64">
        <f t="shared" si="0"/>
        <v>112332</v>
      </c>
      <c r="L19" s="64">
        <f>L59</f>
        <v>267828</v>
      </c>
      <c r="M19" s="12">
        <f t="shared" ref="M19:M26" si="1">IFERROR(L19/H19,"N/A")</f>
        <v>1</v>
      </c>
      <c r="N19" s="66">
        <f>N59</f>
        <v>392411</v>
      </c>
    </row>
    <row r="20" spans="1:14" x14ac:dyDescent="0.2">
      <c r="A20" s="220" t="s">
        <v>38</v>
      </c>
      <c r="B20" s="223" t="s">
        <v>39</v>
      </c>
      <c r="C20" s="223"/>
      <c r="D20" s="222" t="str">
        <f>A61</f>
        <v>1B.  Staff Fringe Benefits</v>
      </c>
      <c r="G20" s="64">
        <f t="shared" ref="G20:I20" si="2">G71</f>
        <v>62830.2</v>
      </c>
      <c r="H20" s="64">
        <f t="shared" si="2"/>
        <v>40175.567500000005</v>
      </c>
      <c r="I20" s="64">
        <f t="shared" si="2"/>
        <v>22654.6325</v>
      </c>
      <c r="J20" s="64">
        <f>J71</f>
        <v>23685</v>
      </c>
      <c r="K20" s="64">
        <f>K71</f>
        <v>16490</v>
      </c>
      <c r="L20" s="64">
        <f>L71</f>
        <v>40175</v>
      </c>
      <c r="M20" s="12">
        <f t="shared" si="1"/>
        <v>0.9999858744994703</v>
      </c>
      <c r="N20" s="66">
        <f>N71</f>
        <v>74933</v>
      </c>
    </row>
    <row r="21" spans="1:14" x14ac:dyDescent="0.2">
      <c r="A21" s="216"/>
      <c r="D21" s="222" t="str">
        <f>A73</f>
        <v>2.  Consultant Services</v>
      </c>
      <c r="G21" s="64">
        <f t="shared" ref="G21:I21" si="3">G85</f>
        <v>150935.52000000002</v>
      </c>
      <c r="H21" s="64">
        <f t="shared" si="3"/>
        <v>107062.5</v>
      </c>
      <c r="I21" s="64">
        <f t="shared" si="3"/>
        <v>43873.020000000004</v>
      </c>
      <c r="J21" s="64">
        <f>J85</f>
        <v>53159</v>
      </c>
      <c r="K21" s="64">
        <f>K85</f>
        <v>53904</v>
      </c>
      <c r="L21" s="64">
        <f>L85</f>
        <v>107063</v>
      </c>
      <c r="M21" s="12">
        <f t="shared" si="1"/>
        <v>1.0000046701692937</v>
      </c>
      <c r="N21" s="66">
        <f>N85</f>
        <v>162293</v>
      </c>
    </row>
    <row r="22" spans="1:14" x14ac:dyDescent="0.2">
      <c r="A22" s="216"/>
      <c r="D22" s="222" t="str">
        <f>A87</f>
        <v>3.  Operating Expenses</v>
      </c>
      <c r="G22" s="64">
        <f t="shared" ref="G22:L22" si="4">G106</f>
        <v>105823.23999999999</v>
      </c>
      <c r="H22" s="64">
        <f t="shared" si="4"/>
        <v>66928</v>
      </c>
      <c r="I22" s="64">
        <f t="shared" si="4"/>
        <v>38895.239999999991</v>
      </c>
      <c r="J22" s="64">
        <f t="shared" si="4"/>
        <v>49796.549999999996</v>
      </c>
      <c r="K22" s="64">
        <f t="shared" si="4"/>
        <v>17131.740000000002</v>
      </c>
      <c r="L22" s="64">
        <f t="shared" si="4"/>
        <v>66928.290000000008</v>
      </c>
      <c r="M22" s="12">
        <f t="shared" si="1"/>
        <v>1.0000043330145829</v>
      </c>
      <c r="N22" s="66">
        <f>N106</f>
        <v>125962</v>
      </c>
    </row>
    <row r="23" spans="1:14" x14ac:dyDescent="0.2">
      <c r="A23" s="224" t="s">
        <v>40</v>
      </c>
      <c r="B23" s="225" t="s">
        <v>54</v>
      </c>
      <c r="D23" s="222" t="str">
        <f>A108</f>
        <v>4.  Direct Client Support</v>
      </c>
      <c r="G23" s="64">
        <f>G114</f>
        <v>4500</v>
      </c>
      <c r="H23" s="64">
        <f t="shared" ref="H23:N23" si="5">H114</f>
        <v>0</v>
      </c>
      <c r="I23" s="64">
        <f t="shared" si="5"/>
        <v>4500</v>
      </c>
      <c r="J23" s="64">
        <f t="shared" si="5"/>
        <v>0</v>
      </c>
      <c r="K23" s="64">
        <f t="shared" si="5"/>
        <v>0</v>
      </c>
      <c r="L23" s="64">
        <f t="shared" si="5"/>
        <v>0</v>
      </c>
      <c r="M23" s="12" t="str">
        <f t="shared" si="1"/>
        <v>N/A</v>
      </c>
      <c r="N23" s="66">
        <f t="shared" si="5"/>
        <v>0</v>
      </c>
    </row>
    <row r="24" spans="1:14" x14ac:dyDescent="0.2">
      <c r="A24" s="216"/>
      <c r="D24" s="222" t="str">
        <f>A116</f>
        <v>5.  Other</v>
      </c>
      <c r="G24" s="64">
        <f>G122</f>
        <v>0</v>
      </c>
      <c r="H24" s="64">
        <f t="shared" ref="H24:N24" si="6">H122</f>
        <v>0</v>
      </c>
      <c r="I24" s="64">
        <f t="shared" si="6"/>
        <v>0</v>
      </c>
      <c r="J24" s="64">
        <f t="shared" si="6"/>
        <v>0</v>
      </c>
      <c r="K24" s="64">
        <f t="shared" si="6"/>
        <v>0</v>
      </c>
      <c r="L24" s="64">
        <f t="shared" si="6"/>
        <v>0</v>
      </c>
      <c r="M24" s="12" t="str">
        <f t="shared" si="1"/>
        <v>N/A</v>
      </c>
      <c r="N24" s="66">
        <f t="shared" si="6"/>
        <v>0</v>
      </c>
    </row>
    <row r="25" spans="1:14" x14ac:dyDescent="0.2">
      <c r="A25" s="216"/>
      <c r="D25" s="222" t="str">
        <f>A124</f>
        <v>6.  Indirect Administrative Costs</v>
      </c>
      <c r="G25" s="64">
        <f>G131</f>
        <v>72438.303599999999</v>
      </c>
      <c r="H25" s="64">
        <f t="shared" ref="H25:L25" si="7">H131</f>
        <v>46994.344312500005</v>
      </c>
      <c r="I25" s="64">
        <f t="shared" si="7"/>
        <v>25443.959287499994</v>
      </c>
      <c r="J25" s="64">
        <f t="shared" si="7"/>
        <v>24350.5</v>
      </c>
      <c r="K25" s="64">
        <f t="shared" si="7"/>
        <v>22643.5</v>
      </c>
      <c r="L25" s="64">
        <f t="shared" si="7"/>
        <v>46994</v>
      </c>
      <c r="M25" s="12">
        <f t="shared" si="1"/>
        <v>0.99999267332048059</v>
      </c>
      <c r="N25" s="66">
        <f>N131</f>
        <v>60543</v>
      </c>
    </row>
    <row r="26" spans="1:14" x14ac:dyDescent="0.2">
      <c r="A26" s="216" t="s">
        <v>42</v>
      </c>
      <c r="B26" s="226">
        <v>528988</v>
      </c>
      <c r="D26" s="227" t="str">
        <f>C133</f>
        <v>7.   TOTAL BUDGET</v>
      </c>
      <c r="E26" s="126"/>
      <c r="F26" s="126"/>
      <c r="G26" s="65">
        <f>G133</f>
        <v>804925.26359999995</v>
      </c>
      <c r="H26" s="65">
        <f t="shared" ref="H26:L26" si="8">H133</f>
        <v>528988.41181249998</v>
      </c>
      <c r="I26" s="65">
        <f t="shared" si="8"/>
        <v>275936.85178749997</v>
      </c>
      <c r="J26" s="65">
        <f t="shared" si="8"/>
        <v>306487.05</v>
      </c>
      <c r="K26" s="65">
        <f t="shared" si="8"/>
        <v>222501.24</v>
      </c>
      <c r="L26" s="65">
        <f t="shared" si="8"/>
        <v>528988.29</v>
      </c>
      <c r="M26" s="13">
        <f t="shared" si="1"/>
        <v>0.99999976972557958</v>
      </c>
      <c r="N26" s="67">
        <f>N133</f>
        <v>816142</v>
      </c>
    </row>
    <row r="27" spans="1:14" x14ac:dyDescent="0.2">
      <c r="A27" s="216" t="s">
        <v>43</v>
      </c>
      <c r="B27" s="76">
        <f>L26</f>
        <v>528988.29</v>
      </c>
      <c r="M27" s="1"/>
      <c r="N27" s="214"/>
    </row>
    <row r="28" spans="1:14" x14ac:dyDescent="0.2">
      <c r="A28" s="216" t="s">
        <v>44</v>
      </c>
      <c r="B28" s="76">
        <f>B26-B27</f>
        <v>-0.2900000000372529</v>
      </c>
      <c r="M28" s="1"/>
      <c r="N28" s="214"/>
    </row>
    <row r="29" spans="1:14" x14ac:dyDescent="0.2">
      <c r="A29" s="216"/>
      <c r="M29" s="1"/>
      <c r="N29" s="214"/>
    </row>
    <row r="30" spans="1:14" ht="15" customHeight="1" thickBot="1" x14ac:dyDescent="0.25">
      <c r="A30" s="228"/>
      <c r="B30" s="229"/>
      <c r="C30" s="229"/>
      <c r="D30" s="229"/>
      <c r="E30" s="229"/>
      <c r="F30" s="229"/>
      <c r="G30" s="229"/>
      <c r="H30" s="229"/>
      <c r="I30" s="229"/>
      <c r="J30" s="229"/>
      <c r="K30" s="229"/>
      <c r="L30" s="229"/>
      <c r="M30" s="9"/>
      <c r="N30" s="62"/>
    </row>
    <row r="31" spans="1:14" ht="15" x14ac:dyDescent="0.25">
      <c r="A31" s="230" t="s">
        <v>45</v>
      </c>
      <c r="B31" s="231"/>
      <c r="C31" s="231"/>
      <c r="D31" s="231"/>
      <c r="E31" s="231"/>
      <c r="F31" s="231"/>
      <c r="G31" s="231"/>
      <c r="H31" s="231"/>
      <c r="I31" s="231"/>
      <c r="J31" s="231"/>
      <c r="K31" s="231"/>
      <c r="L31" s="231"/>
      <c r="M31" s="231"/>
      <c r="N31" s="232"/>
    </row>
    <row r="32" spans="1:14" ht="14.25" x14ac:dyDescent="0.2">
      <c r="A32" s="233" t="s">
        <v>46</v>
      </c>
      <c r="B32" s="234"/>
      <c r="C32" s="234"/>
      <c r="D32" s="234"/>
      <c r="E32" s="234"/>
      <c r="F32" s="234"/>
      <c r="G32" s="234"/>
      <c r="H32" s="234"/>
      <c r="I32" s="234"/>
      <c r="J32" s="234"/>
      <c r="K32" s="234"/>
      <c r="L32" s="234"/>
      <c r="M32" s="234"/>
      <c r="N32" s="235"/>
    </row>
    <row r="33" spans="1:14" ht="15" thickBot="1" x14ac:dyDescent="0.25">
      <c r="A33" s="236" t="s">
        <v>47</v>
      </c>
      <c r="B33" s="237"/>
      <c r="C33" s="237"/>
      <c r="D33" s="237"/>
      <c r="E33" s="237"/>
      <c r="F33" s="237"/>
      <c r="G33" s="237"/>
      <c r="H33" s="237"/>
      <c r="I33" s="237"/>
      <c r="J33" s="237"/>
      <c r="K33" s="237"/>
      <c r="L33" s="237"/>
      <c r="M33" s="237"/>
      <c r="N33" s="238"/>
    </row>
    <row r="34" spans="1:14" x14ac:dyDescent="0.2">
      <c r="A34" s="216"/>
      <c r="M34" s="10"/>
      <c r="N34" s="92"/>
    </row>
    <row r="35" spans="1:14" x14ac:dyDescent="0.2">
      <c r="A35" s="239" t="s">
        <v>48</v>
      </c>
      <c r="D35" s="126" t="s">
        <v>49</v>
      </c>
      <c r="F35" s="31"/>
      <c r="G35" s="240">
        <v>45317</v>
      </c>
      <c r="M35" s="10"/>
      <c r="N35" s="92"/>
    </row>
    <row r="36" spans="1:14" x14ac:dyDescent="0.2">
      <c r="A36" s="239" t="s">
        <v>50</v>
      </c>
      <c r="D36" s="126" t="s">
        <v>49</v>
      </c>
      <c r="F36" s="31"/>
      <c r="G36" s="240">
        <v>45525</v>
      </c>
      <c r="M36" s="10"/>
      <c r="N36" s="92"/>
    </row>
    <row r="37" spans="1:14" ht="13.5" thickBot="1" x14ac:dyDescent="0.25">
      <c r="A37" s="241"/>
      <c r="B37" s="229"/>
      <c r="C37" s="229"/>
      <c r="D37" s="229"/>
      <c r="E37" s="229"/>
      <c r="F37" s="242"/>
      <c r="G37" s="229"/>
      <c r="H37" s="229"/>
      <c r="I37" s="229"/>
      <c r="J37" s="229"/>
      <c r="K37" s="229"/>
      <c r="L37" s="229"/>
      <c r="M37" s="9"/>
      <c r="N37" s="62"/>
    </row>
    <row r="38" spans="1:14" ht="13.5" thickBot="1" x14ac:dyDescent="0.25">
      <c r="A38" s="241"/>
      <c r="B38" s="243"/>
      <c r="C38" s="229"/>
      <c r="D38" s="243"/>
      <c r="E38" s="243"/>
      <c r="F38" s="243"/>
      <c r="G38" s="229"/>
      <c r="H38" s="229"/>
      <c r="I38" s="229"/>
      <c r="J38" s="229"/>
      <c r="K38" s="229"/>
      <c r="L38" s="229"/>
      <c r="M38" s="229"/>
      <c r="N38" s="244"/>
    </row>
    <row r="39" spans="1:14" hidden="1" x14ac:dyDescent="0.2">
      <c r="A39" s="126"/>
      <c r="D39" s="126"/>
      <c r="E39" s="126"/>
      <c r="F39" s="126"/>
      <c r="G39" s="30"/>
      <c r="H39" s="30"/>
      <c r="I39" s="30"/>
      <c r="J39" s="30"/>
      <c r="K39" s="30"/>
      <c r="L39" s="30"/>
      <c r="M39" s="26"/>
      <c r="N39" s="30"/>
    </row>
    <row r="40" spans="1:14" hidden="1" x14ac:dyDescent="0.2">
      <c r="A40" s="217" t="s">
        <v>41</v>
      </c>
      <c r="B40" s="218"/>
      <c r="C40" s="218" t="s">
        <v>51</v>
      </c>
      <c r="D40" s="245"/>
      <c r="E40" s="245"/>
      <c r="F40" s="246"/>
      <c r="G40" s="246"/>
      <c r="H40" s="246"/>
      <c r="I40" s="95"/>
      <c r="J40" s="95"/>
      <c r="K40" s="94"/>
      <c r="L40" s="95"/>
      <c r="M40" s="95"/>
      <c r="N40" s="60"/>
    </row>
    <row r="41" spans="1:14" hidden="1" x14ac:dyDescent="0.2">
      <c r="A41" s="216" t="s">
        <v>52</v>
      </c>
      <c r="C41" s="1" t="s">
        <v>53</v>
      </c>
      <c r="D41" s="126"/>
      <c r="E41" s="126"/>
      <c r="H41" s="247"/>
      <c r="J41" s="30"/>
      <c r="K41" s="30"/>
      <c r="L41" s="30"/>
      <c r="M41" s="26"/>
      <c r="N41" s="61"/>
    </row>
    <row r="42" spans="1:14" ht="13.5" hidden="1" thickBot="1" x14ac:dyDescent="0.25">
      <c r="A42" s="228" t="s">
        <v>54</v>
      </c>
      <c r="B42" s="229"/>
      <c r="C42" s="229" t="s">
        <v>55</v>
      </c>
      <c r="D42" s="229"/>
      <c r="E42" s="229"/>
      <c r="F42" s="229"/>
      <c r="G42" s="229"/>
      <c r="H42" s="248"/>
      <c r="I42" s="229"/>
      <c r="J42" s="229"/>
      <c r="K42" s="229"/>
      <c r="L42" s="229"/>
      <c r="M42" s="9"/>
      <c r="N42" s="62"/>
    </row>
    <row r="43" spans="1:14" ht="15.75" thickBot="1" x14ac:dyDescent="0.3">
      <c r="A43" s="249" t="s">
        <v>56</v>
      </c>
      <c r="B43" s="237"/>
      <c r="C43" s="237"/>
      <c r="D43" s="237"/>
      <c r="E43" s="237"/>
      <c r="F43" s="237"/>
      <c r="G43" s="237"/>
      <c r="H43" s="237"/>
      <c r="I43" s="237"/>
      <c r="J43" s="237"/>
      <c r="K43" s="237"/>
      <c r="L43" s="237"/>
      <c r="M43" s="96"/>
      <c r="N43" s="238"/>
    </row>
    <row r="44" spans="1:14" ht="13.5" thickBot="1" x14ac:dyDescent="0.25"/>
    <row r="45" spans="1:14" x14ac:dyDescent="0.2">
      <c r="A45" s="250" t="s">
        <v>57</v>
      </c>
      <c r="B45" s="251"/>
      <c r="C45" s="251"/>
      <c r="D45" s="251"/>
      <c r="E45" s="251"/>
      <c r="F45" s="252"/>
      <c r="G45" s="253"/>
      <c r="H45" s="253"/>
      <c r="I45" s="253"/>
      <c r="J45" s="253"/>
      <c r="K45" s="253"/>
      <c r="L45" s="253"/>
      <c r="M45" s="4"/>
      <c r="N45" s="3"/>
    </row>
    <row r="46" spans="1:14" s="258" customFormat="1" ht="11.25" x14ac:dyDescent="0.2">
      <c r="A46" s="254" t="s">
        <v>58</v>
      </c>
      <c r="B46" s="255"/>
      <c r="C46" s="255"/>
      <c r="D46" s="255"/>
      <c r="E46" s="255"/>
      <c r="F46" s="256"/>
      <c r="G46" s="257"/>
      <c r="H46" s="257"/>
      <c r="I46" s="257"/>
      <c r="J46" s="257"/>
      <c r="K46" s="257"/>
      <c r="L46" s="257"/>
      <c r="M46" s="6"/>
      <c r="N46" s="5"/>
    </row>
    <row r="47" spans="1:14" s="258" customFormat="1" ht="33.75" x14ac:dyDescent="0.2">
      <c r="A47" s="259" t="s">
        <v>59</v>
      </c>
      <c r="B47" s="260" t="s">
        <v>60</v>
      </c>
      <c r="C47" s="261" t="s">
        <v>61</v>
      </c>
      <c r="D47" s="261" t="s">
        <v>62</v>
      </c>
      <c r="E47" s="261" t="s">
        <v>63</v>
      </c>
      <c r="G47" s="261" t="str">
        <f>G$18</f>
        <v>TOTAL
PROGRAM
BUDGET</v>
      </c>
      <c r="H47" s="261" t="str">
        <f t="shared" ref="H47:N47" si="9">H$18</f>
        <v>HSGP GRANT
BUDGET</v>
      </c>
      <c r="I47" s="261" t="str">
        <f t="shared" si="9"/>
        <v>NON-CITY PROGRAM BUDGET</v>
      </c>
      <c r="J47" s="261" t="str">
        <f t="shared" si="9"/>
        <v>HSGP
MID-YEAR EXPEND.</v>
      </c>
      <c r="K47" s="261" t="str">
        <f t="shared" si="9"/>
        <v>HSGP
YEAR-END EXPEND.</v>
      </c>
      <c r="L47" s="261" t="str">
        <f t="shared" si="9"/>
        <v>HSGP TOTAL EXPEND.</v>
      </c>
      <c r="M47" s="18" t="str">
        <f t="shared" si="9"/>
        <v>HSGP PERCENT EXPENDED</v>
      </c>
      <c r="N47" s="93" t="str">
        <f t="shared" si="9"/>
        <v>YEAR-END
 TOTAL PROGRAM EXPEND.</v>
      </c>
    </row>
    <row r="48" spans="1:14" hidden="1" x14ac:dyDescent="0.2">
      <c r="A48" s="262" t="s">
        <v>64</v>
      </c>
      <c r="B48" s="263" t="s">
        <v>65</v>
      </c>
      <c r="C48" s="264" t="s">
        <v>51</v>
      </c>
      <c r="D48" s="265">
        <v>1</v>
      </c>
      <c r="E48" s="266">
        <v>1</v>
      </c>
      <c r="G48" s="110">
        <v>135000</v>
      </c>
      <c r="H48" s="110">
        <v>65666</v>
      </c>
      <c r="I48" s="64">
        <f>G48-H48</f>
        <v>69334</v>
      </c>
      <c r="J48" s="267">
        <v>40900</v>
      </c>
      <c r="K48" s="267">
        <f>267828-243062</f>
        <v>24766</v>
      </c>
      <c r="L48" s="268">
        <f t="shared" ref="L48:L56" si="10">SUM(J48:K48)</f>
        <v>65666</v>
      </c>
      <c r="M48" s="12">
        <f t="shared" ref="M48:M59" si="11">IFERROR(L48/H48,"N/A")</f>
        <v>1</v>
      </c>
      <c r="N48" s="269">
        <v>133185</v>
      </c>
    </row>
    <row r="49" spans="1:14" x14ac:dyDescent="0.2">
      <c r="A49" s="262"/>
      <c r="B49" s="263"/>
      <c r="C49" s="264" t="s">
        <v>51</v>
      </c>
      <c r="D49" s="265">
        <v>1</v>
      </c>
      <c r="E49" s="266"/>
      <c r="G49" s="110">
        <v>135000</v>
      </c>
      <c r="H49" s="110">
        <v>65666</v>
      </c>
      <c r="I49" s="68">
        <v>69334</v>
      </c>
      <c r="J49" s="267">
        <v>40900</v>
      </c>
      <c r="K49" s="267">
        <v>24766</v>
      </c>
      <c r="L49" s="268">
        <v>65666</v>
      </c>
      <c r="M49" s="12">
        <v>1</v>
      </c>
      <c r="N49" s="269">
        <v>133185</v>
      </c>
    </row>
    <row r="50" spans="1:14" hidden="1" outlineLevel="1" x14ac:dyDescent="0.2">
      <c r="A50" s="262" t="s">
        <v>66</v>
      </c>
      <c r="B50" s="263" t="s">
        <v>67</v>
      </c>
      <c r="C50" s="264" t="s">
        <v>55</v>
      </c>
      <c r="D50" s="265">
        <v>1</v>
      </c>
      <c r="E50" s="266">
        <v>1</v>
      </c>
      <c r="G50" s="110">
        <v>64500</v>
      </c>
      <c r="H50" s="110">
        <v>63560</v>
      </c>
      <c r="I50" s="68">
        <f t="shared" ref="I50:I52" si="12">G50-H50</f>
        <v>940</v>
      </c>
      <c r="J50" s="267">
        <v>32250</v>
      </c>
      <c r="K50" s="267">
        <f>63560-32250</f>
        <v>31310</v>
      </c>
      <c r="L50" s="268">
        <f t="shared" si="10"/>
        <v>63560</v>
      </c>
      <c r="M50" s="12">
        <f t="shared" si="11"/>
        <v>1</v>
      </c>
      <c r="N50" s="269">
        <v>63560</v>
      </c>
    </row>
    <row r="51" spans="1:14" hidden="1" outlineLevel="1" x14ac:dyDescent="0.2">
      <c r="A51" s="262" t="s">
        <v>68</v>
      </c>
      <c r="B51" s="263" t="s">
        <v>69</v>
      </c>
      <c r="C51" s="264" t="s">
        <v>55</v>
      </c>
      <c r="D51" s="265">
        <v>1</v>
      </c>
      <c r="E51" s="266">
        <v>0.4</v>
      </c>
      <c r="G51" s="110">
        <v>28000</v>
      </c>
      <c r="H51" s="110">
        <v>0</v>
      </c>
      <c r="I51" s="68">
        <f t="shared" si="12"/>
        <v>28000</v>
      </c>
      <c r="J51" s="267">
        <v>0</v>
      </c>
      <c r="K51" s="267">
        <v>0</v>
      </c>
      <c r="L51" s="268">
        <f t="shared" si="10"/>
        <v>0</v>
      </c>
      <c r="M51" s="12" t="str">
        <f t="shared" si="11"/>
        <v>N/A</v>
      </c>
      <c r="N51" s="269">
        <v>24395</v>
      </c>
    </row>
    <row r="52" spans="1:14" hidden="1" outlineLevel="1" x14ac:dyDescent="0.2">
      <c r="A52" s="262" t="s">
        <v>70</v>
      </c>
      <c r="B52" s="263" t="s">
        <v>71</v>
      </c>
      <c r="C52" s="264" t="s">
        <v>55</v>
      </c>
      <c r="D52" s="265">
        <v>0.75</v>
      </c>
      <c r="E52" s="266">
        <v>0.75</v>
      </c>
      <c r="G52" s="110">
        <v>34320</v>
      </c>
      <c r="H52" s="110">
        <v>27024</v>
      </c>
      <c r="I52" s="68">
        <f t="shared" si="12"/>
        <v>7296</v>
      </c>
      <c r="J52" s="267">
        <v>16225</v>
      </c>
      <c r="K52" s="267">
        <f>27024-16225</f>
        <v>10799</v>
      </c>
      <c r="L52" s="268">
        <f t="shared" si="10"/>
        <v>27024</v>
      </c>
      <c r="M52" s="12">
        <f t="shared" si="11"/>
        <v>1</v>
      </c>
      <c r="N52" s="269">
        <v>27024</v>
      </c>
    </row>
    <row r="53" spans="1:14" hidden="1" outlineLevel="1" x14ac:dyDescent="0.2">
      <c r="A53" s="262" t="s">
        <v>72</v>
      </c>
      <c r="B53" s="263" t="s">
        <v>73</v>
      </c>
      <c r="C53" s="264" t="s">
        <v>55</v>
      </c>
      <c r="D53" s="265">
        <v>1</v>
      </c>
      <c r="E53" s="266">
        <v>1</v>
      </c>
      <c r="G53" s="110">
        <v>70000</v>
      </c>
      <c r="H53" s="110">
        <v>35000</v>
      </c>
      <c r="I53" s="68">
        <f t="shared" ref="I53:I55" si="13">G53-H53</f>
        <v>35000</v>
      </c>
      <c r="J53" s="267">
        <v>23608</v>
      </c>
      <c r="K53" s="267">
        <f>35000-23608</f>
        <v>11392</v>
      </c>
      <c r="L53" s="268">
        <f t="shared" ref="L53:L55" si="14">SUM(J53:K53)</f>
        <v>35000</v>
      </c>
      <c r="M53" s="12">
        <f t="shared" ref="M53:M55" si="15">IFERROR(L53/H53,"N/A")</f>
        <v>1</v>
      </c>
      <c r="N53" s="269">
        <v>62908</v>
      </c>
    </row>
    <row r="54" spans="1:14" hidden="1" outlineLevel="1" x14ac:dyDescent="0.2">
      <c r="A54" s="262" t="s">
        <v>74</v>
      </c>
      <c r="B54" s="263" t="s">
        <v>71</v>
      </c>
      <c r="C54" s="264" t="s">
        <v>55</v>
      </c>
      <c r="D54" s="265">
        <v>0.75</v>
      </c>
      <c r="E54" s="266">
        <v>0.75</v>
      </c>
      <c r="G54" s="110">
        <v>28074</v>
      </c>
      <c r="H54" s="110">
        <v>28074</v>
      </c>
      <c r="I54" s="68">
        <f t="shared" si="13"/>
        <v>0</v>
      </c>
      <c r="J54" s="267">
        <v>16861</v>
      </c>
      <c r="K54" s="267">
        <f>28074-16861</f>
        <v>11213</v>
      </c>
      <c r="L54" s="268">
        <f t="shared" si="14"/>
        <v>28074</v>
      </c>
      <c r="M54" s="12">
        <f t="shared" si="15"/>
        <v>1</v>
      </c>
      <c r="N54" s="269">
        <v>28074</v>
      </c>
    </row>
    <row r="55" spans="1:14" hidden="1" outlineLevel="1" x14ac:dyDescent="0.2">
      <c r="A55" s="262" t="s">
        <v>75</v>
      </c>
      <c r="B55" s="263" t="s">
        <v>71</v>
      </c>
      <c r="C55" s="264" t="s">
        <v>55</v>
      </c>
      <c r="D55" s="265">
        <v>0.5</v>
      </c>
      <c r="E55" s="266">
        <v>0.5</v>
      </c>
      <c r="G55" s="110">
        <v>21840</v>
      </c>
      <c r="H55" s="110">
        <v>21840</v>
      </c>
      <c r="I55" s="68">
        <f t="shared" si="13"/>
        <v>0</v>
      </c>
      <c r="J55" s="267">
        <v>10991</v>
      </c>
      <c r="K55" s="267">
        <f>21840-10991</f>
        <v>10849</v>
      </c>
      <c r="L55" s="268">
        <f t="shared" si="14"/>
        <v>21840</v>
      </c>
      <c r="M55" s="12">
        <f t="shared" si="15"/>
        <v>1</v>
      </c>
      <c r="N55" s="269">
        <v>26601</v>
      </c>
    </row>
    <row r="56" spans="1:14" hidden="1" outlineLevel="1" x14ac:dyDescent="0.2">
      <c r="A56" s="262" t="s">
        <v>76</v>
      </c>
      <c r="B56" s="263" t="s">
        <v>77</v>
      </c>
      <c r="C56" s="264" t="s">
        <v>55</v>
      </c>
      <c r="D56" s="265">
        <v>1</v>
      </c>
      <c r="E56" s="266">
        <v>0.6</v>
      </c>
      <c r="G56" s="110">
        <v>26664</v>
      </c>
      <c r="H56" s="110">
        <v>26664</v>
      </c>
      <c r="I56" s="68">
        <f t="shared" ref="I56" si="16">G56-H56</f>
        <v>0</v>
      </c>
      <c r="J56" s="267">
        <v>14661</v>
      </c>
      <c r="K56" s="267">
        <f>26664-14661</f>
        <v>12003</v>
      </c>
      <c r="L56" s="268">
        <f t="shared" si="10"/>
        <v>26664</v>
      </c>
      <c r="M56" s="12">
        <f t="shared" si="11"/>
        <v>1</v>
      </c>
      <c r="N56" s="269">
        <v>26664</v>
      </c>
    </row>
    <row r="57" spans="1:14" collapsed="1" x14ac:dyDescent="0.2">
      <c r="A57" s="262"/>
      <c r="B57" s="263"/>
      <c r="C57" s="264" t="s">
        <v>55</v>
      </c>
      <c r="D57" s="265">
        <f>SUM(D50:D56)</f>
        <v>6</v>
      </c>
      <c r="E57" s="266"/>
      <c r="G57" s="99">
        <f>SUM(G50:G56)</f>
        <v>273398</v>
      </c>
      <c r="H57" s="99">
        <f>SUM(H50:H56)</f>
        <v>202162</v>
      </c>
      <c r="I57" s="68">
        <f t="shared" ref="I57:I58" si="17">G57-H57</f>
        <v>71236</v>
      </c>
      <c r="J57" s="267">
        <f>SUM(J50:J56)</f>
        <v>114596</v>
      </c>
      <c r="K57" s="267">
        <f>SUM(K50:K56)</f>
        <v>87566</v>
      </c>
      <c r="L57" s="268">
        <f t="shared" ref="L57:L58" si="18">SUM(J57:K57)</f>
        <v>202162</v>
      </c>
      <c r="M57" s="12">
        <f t="shared" ref="M57:M58" si="19">IFERROR(L57/H57,"N/A")</f>
        <v>1</v>
      </c>
      <c r="N57" s="269">
        <f>SUM(N50:N56)</f>
        <v>259226</v>
      </c>
    </row>
    <row r="58" spans="1:14" x14ac:dyDescent="0.2">
      <c r="A58" s="262"/>
      <c r="B58" s="263"/>
      <c r="C58" s="270"/>
      <c r="D58" s="271"/>
      <c r="E58" s="272"/>
      <c r="G58" s="99">
        <v>0</v>
      </c>
      <c r="H58" s="99">
        <v>0</v>
      </c>
      <c r="I58" s="68">
        <f t="shared" si="17"/>
        <v>0</v>
      </c>
      <c r="J58" s="267">
        <v>0</v>
      </c>
      <c r="K58" s="267">
        <v>0</v>
      </c>
      <c r="L58" s="268">
        <f t="shared" si="18"/>
        <v>0</v>
      </c>
      <c r="M58" s="12" t="str">
        <f t="shared" si="19"/>
        <v>N/A</v>
      </c>
      <c r="N58" s="269">
        <v>0</v>
      </c>
    </row>
    <row r="59" spans="1:14" ht="13.5" thickBot="1" x14ac:dyDescent="0.25">
      <c r="A59" s="228"/>
      <c r="B59" s="229"/>
      <c r="C59" s="273" t="s">
        <v>78</v>
      </c>
      <c r="D59" s="274"/>
      <c r="E59" s="274"/>
      <c r="F59" s="229"/>
      <c r="G59" s="69">
        <f>SUM(G49,G57)</f>
        <v>408398</v>
      </c>
      <c r="H59" s="69">
        <f>SUM(H49,H57)</f>
        <v>267828</v>
      </c>
      <c r="I59" s="69">
        <f t="shared" ref="I59:K59" si="20">SUM(I49,I57)</f>
        <v>140570</v>
      </c>
      <c r="J59" s="69">
        <f t="shared" si="20"/>
        <v>155496</v>
      </c>
      <c r="K59" s="69">
        <f t="shared" si="20"/>
        <v>112332</v>
      </c>
      <c r="L59" s="69">
        <f>SUM(L49,L57)</f>
        <v>267828</v>
      </c>
      <c r="M59" s="19">
        <f t="shared" si="11"/>
        <v>1</v>
      </c>
      <c r="N59" s="70">
        <f>SUM(N49,N57)</f>
        <v>392411</v>
      </c>
    </row>
    <row r="60" spans="1:14" ht="13.5" thickBot="1" x14ac:dyDescent="0.25"/>
    <row r="61" spans="1:14" x14ac:dyDescent="0.2">
      <c r="A61" s="275" t="s">
        <v>79</v>
      </c>
      <c r="B61" s="251"/>
      <c r="C61" s="251"/>
      <c r="D61" s="251"/>
      <c r="E61" s="251"/>
      <c r="F61" s="252"/>
      <c r="G61" s="253"/>
      <c r="H61" s="253"/>
      <c r="I61" s="253"/>
      <c r="J61" s="253"/>
      <c r="K61" s="253"/>
      <c r="L61" s="253"/>
      <c r="M61" s="4"/>
      <c r="N61" s="3"/>
    </row>
    <row r="62" spans="1:14" s="258" customFormat="1" ht="11.25" x14ac:dyDescent="0.2">
      <c r="A62" s="254" t="s">
        <v>80</v>
      </c>
      <c r="B62" s="255"/>
      <c r="C62" s="255"/>
      <c r="D62" s="255"/>
      <c r="E62" s="255"/>
      <c r="F62" s="256"/>
      <c r="G62" s="257"/>
      <c r="H62" s="257"/>
      <c r="I62" s="257"/>
      <c r="J62" s="257"/>
      <c r="K62" s="257"/>
      <c r="L62" s="257"/>
      <c r="M62" s="6"/>
      <c r="N62" s="5"/>
    </row>
    <row r="63" spans="1:14" ht="33.75" x14ac:dyDescent="0.2">
      <c r="A63" s="276" t="s">
        <v>81</v>
      </c>
      <c r="B63" s="277"/>
      <c r="C63" s="278"/>
      <c r="D63" s="278"/>
      <c r="E63" s="278"/>
      <c r="F63" s="278"/>
      <c r="G63" s="261" t="str">
        <f>G$18</f>
        <v>TOTAL
PROGRAM
BUDGET</v>
      </c>
      <c r="H63" s="261" t="str">
        <f t="shared" ref="H63:N63" si="21">H$18</f>
        <v>HSGP GRANT
BUDGET</v>
      </c>
      <c r="I63" s="261" t="str">
        <f t="shared" si="21"/>
        <v>NON-CITY PROGRAM BUDGET</v>
      </c>
      <c r="J63" s="261" t="str">
        <f t="shared" si="21"/>
        <v>HSGP
MID-YEAR EXPEND.</v>
      </c>
      <c r="K63" s="261" t="str">
        <f t="shared" si="21"/>
        <v>HSGP
YEAR-END EXPEND.</v>
      </c>
      <c r="L63" s="261" t="str">
        <f t="shared" si="21"/>
        <v>HSGP TOTAL EXPEND.</v>
      </c>
      <c r="M63" s="18" t="str">
        <f t="shared" si="21"/>
        <v>HSGP PERCENT EXPENDED</v>
      </c>
      <c r="N63" s="93" t="str">
        <f t="shared" si="21"/>
        <v>YEAR-END
 TOTAL PROGRAM EXPEND.</v>
      </c>
    </row>
    <row r="64" spans="1:14" x14ac:dyDescent="0.2">
      <c r="A64" s="279" t="s">
        <v>82</v>
      </c>
      <c r="B64" s="280"/>
      <c r="C64" s="280"/>
      <c r="D64" s="281"/>
      <c r="E64" s="282"/>
      <c r="F64" s="283"/>
      <c r="G64" s="100">
        <v>32043.401999999998</v>
      </c>
      <c r="H64" s="111">
        <v>20692</v>
      </c>
      <c r="I64" s="64">
        <f t="shared" ref="I64:I70" si="22">G64-H64</f>
        <v>11351.401999999998</v>
      </c>
      <c r="J64" s="267">
        <v>11497</v>
      </c>
      <c r="K64" s="267">
        <f>20692-J64</f>
        <v>9195</v>
      </c>
      <c r="L64" s="64">
        <f>SUM(J64:K64)</f>
        <v>20692</v>
      </c>
      <c r="M64" s="12">
        <f>IFERROR(L64/H64,"N/A")</f>
        <v>1</v>
      </c>
      <c r="N64" s="284">
        <v>28870</v>
      </c>
    </row>
    <row r="65" spans="1:14" x14ac:dyDescent="0.2">
      <c r="A65" s="285" t="s">
        <v>83</v>
      </c>
      <c r="B65" s="280"/>
      <c r="C65" s="101"/>
      <c r="D65" s="281"/>
      <c r="E65" s="282"/>
      <c r="F65" s="283"/>
      <c r="G65" s="100">
        <v>4188.68</v>
      </c>
      <c r="H65" s="111">
        <v>2841</v>
      </c>
      <c r="I65" s="68">
        <f t="shared" si="22"/>
        <v>1347.6800000000003</v>
      </c>
      <c r="J65" s="267">
        <v>1433</v>
      </c>
      <c r="K65" s="286">
        <f>2841-J65</f>
        <v>1408</v>
      </c>
      <c r="L65" s="68">
        <f t="shared" ref="L65:L70" si="23">SUM(J65:K65)</f>
        <v>2841</v>
      </c>
      <c r="M65" s="11">
        <f t="shared" ref="M65:M70" si="24">IFERROR(L65/H65,"N/A")</f>
        <v>1</v>
      </c>
      <c r="N65" s="287">
        <v>3986</v>
      </c>
    </row>
    <row r="66" spans="1:14" x14ac:dyDescent="0.2">
      <c r="A66" s="285" t="s">
        <v>84</v>
      </c>
      <c r="B66" s="280"/>
      <c r="C66" s="101"/>
      <c r="D66" s="281"/>
      <c r="E66" s="282"/>
      <c r="F66" s="283"/>
      <c r="G66" s="100">
        <v>3560.3780000000002</v>
      </c>
      <c r="H66" s="111">
        <v>1912</v>
      </c>
      <c r="I66" s="68">
        <f t="shared" si="22"/>
        <v>1648.3780000000002</v>
      </c>
      <c r="J66" s="267">
        <v>1156</v>
      </c>
      <c r="K66" s="286">
        <f>1912-J66</f>
        <v>756</v>
      </c>
      <c r="L66" s="68">
        <f t="shared" si="23"/>
        <v>1912</v>
      </c>
      <c r="M66" s="11">
        <f t="shared" si="24"/>
        <v>1</v>
      </c>
      <c r="N66" s="287">
        <v>2420</v>
      </c>
    </row>
    <row r="67" spans="1:14" x14ac:dyDescent="0.2">
      <c r="A67" s="285" t="s">
        <v>85</v>
      </c>
      <c r="B67" s="280"/>
      <c r="C67" s="101"/>
      <c r="D67" s="281"/>
      <c r="E67" s="282"/>
      <c r="F67" s="283"/>
      <c r="G67" s="100">
        <v>20943.400000000001</v>
      </c>
      <c r="H67" s="100">
        <v>13391.425000000001</v>
      </c>
      <c r="I67" s="68">
        <f t="shared" ref="I67" si="25">G67-H67</f>
        <v>7551.9750000000004</v>
      </c>
      <c r="J67" s="267">
        <v>8130</v>
      </c>
      <c r="K67" s="286">
        <f>13391-J67</f>
        <v>5261</v>
      </c>
      <c r="L67" s="68">
        <f t="shared" ref="L67" si="26">SUM(J67:K67)</f>
        <v>13391</v>
      </c>
      <c r="M67" s="11">
        <f t="shared" ref="M67" si="27">IFERROR(L67/H67,"N/A")</f>
        <v>0.99996826327295252</v>
      </c>
      <c r="N67" s="287">
        <v>32831</v>
      </c>
    </row>
    <row r="68" spans="1:14" x14ac:dyDescent="0.2">
      <c r="A68" s="285" t="s">
        <v>86</v>
      </c>
      <c r="B68" s="280"/>
      <c r="C68" s="101"/>
      <c r="D68" s="281"/>
      <c r="E68" s="282"/>
      <c r="F68" s="283"/>
      <c r="G68" s="100">
        <v>2094.34</v>
      </c>
      <c r="H68" s="100">
        <v>1339.1424999999999</v>
      </c>
      <c r="I68" s="68">
        <f t="shared" si="22"/>
        <v>755.19750000000022</v>
      </c>
      <c r="J68" s="267">
        <f>2469-1000</f>
        <v>1469</v>
      </c>
      <c r="K68" s="286">
        <f>1339-J68</f>
        <v>-130</v>
      </c>
      <c r="L68" s="68">
        <f t="shared" si="23"/>
        <v>1339</v>
      </c>
      <c r="M68" s="11">
        <f t="shared" si="24"/>
        <v>0.99989358862107658</v>
      </c>
      <c r="N68" s="287">
        <v>6826</v>
      </c>
    </row>
    <row r="69" spans="1:14" x14ac:dyDescent="0.2">
      <c r="A69" s="288"/>
      <c r="B69" s="280"/>
      <c r="C69" s="101"/>
      <c r="D69" s="281"/>
      <c r="E69" s="282"/>
      <c r="F69" s="283"/>
      <c r="G69" s="100">
        <v>0</v>
      </c>
      <c r="H69" s="100">
        <v>0</v>
      </c>
      <c r="I69" s="68">
        <f t="shared" si="22"/>
        <v>0</v>
      </c>
      <c r="J69" s="267">
        <v>0</v>
      </c>
      <c r="K69" s="286">
        <v>0</v>
      </c>
      <c r="L69" s="68">
        <f t="shared" si="23"/>
        <v>0</v>
      </c>
      <c r="M69" s="11" t="str">
        <f t="shared" si="24"/>
        <v>N/A</v>
      </c>
      <c r="N69" s="287">
        <v>0</v>
      </c>
    </row>
    <row r="70" spans="1:14" x14ac:dyDescent="0.2">
      <c r="A70" s="289"/>
      <c r="B70" s="280"/>
      <c r="C70" s="102"/>
      <c r="D70" s="290"/>
      <c r="E70" s="291"/>
      <c r="F70" s="283"/>
      <c r="G70" s="100">
        <v>0</v>
      </c>
      <c r="H70" s="100">
        <v>0</v>
      </c>
      <c r="I70" s="68">
        <f t="shared" si="22"/>
        <v>0</v>
      </c>
      <c r="J70" s="267">
        <v>0</v>
      </c>
      <c r="K70" s="286">
        <v>0</v>
      </c>
      <c r="L70" s="68">
        <f t="shared" si="23"/>
        <v>0</v>
      </c>
      <c r="M70" s="11" t="str">
        <f t="shared" si="24"/>
        <v>N/A</v>
      </c>
      <c r="N70" s="287">
        <v>0</v>
      </c>
    </row>
    <row r="71" spans="1:14" ht="13.5" thickBot="1" x14ac:dyDescent="0.25">
      <c r="A71" s="228"/>
      <c r="B71" s="229"/>
      <c r="C71" s="292" t="s">
        <v>87</v>
      </c>
      <c r="D71" s="293"/>
      <c r="E71" s="293"/>
      <c r="F71" s="294"/>
      <c r="G71" s="69">
        <f t="shared" ref="G71:L71" si="28">SUM(G64:G70)</f>
        <v>62830.2</v>
      </c>
      <c r="H71" s="69">
        <f t="shared" si="28"/>
        <v>40175.567500000005</v>
      </c>
      <c r="I71" s="69">
        <f t="shared" si="28"/>
        <v>22654.6325</v>
      </c>
      <c r="J71" s="69">
        <f t="shared" si="28"/>
        <v>23685</v>
      </c>
      <c r="K71" s="69">
        <f t="shared" si="28"/>
        <v>16490</v>
      </c>
      <c r="L71" s="69">
        <f t="shared" si="28"/>
        <v>40175</v>
      </c>
      <c r="M71" s="19">
        <f>IFERROR(L71/H71,"N/A")</f>
        <v>0.9999858744994703</v>
      </c>
      <c r="N71" s="70">
        <f>SUM(N64:N70)</f>
        <v>74933</v>
      </c>
    </row>
    <row r="72" spans="1:14" ht="13.5" thickBot="1" x14ac:dyDescent="0.25"/>
    <row r="73" spans="1:14" s="258" customFormat="1" x14ac:dyDescent="0.2">
      <c r="A73" s="275" t="s">
        <v>88</v>
      </c>
      <c r="B73" s="251"/>
      <c r="C73" s="251"/>
      <c r="D73" s="251"/>
      <c r="E73" s="251"/>
      <c r="F73" s="252"/>
      <c r="G73" s="253"/>
      <c r="H73" s="253"/>
      <c r="I73" s="253"/>
      <c r="J73" s="253"/>
      <c r="K73" s="253"/>
      <c r="L73" s="253"/>
      <c r="M73" s="4"/>
      <c r="N73" s="3"/>
    </row>
    <row r="74" spans="1:14" s="258" customFormat="1" ht="11.25" x14ac:dyDescent="0.2">
      <c r="A74" s="254" t="s">
        <v>89</v>
      </c>
      <c r="B74" s="255"/>
      <c r="C74" s="255"/>
      <c r="D74" s="255"/>
      <c r="E74" s="255"/>
      <c r="F74" s="256"/>
      <c r="G74" s="257"/>
      <c r="H74" s="257"/>
      <c r="I74" s="257"/>
      <c r="J74" s="257"/>
      <c r="K74" s="257"/>
      <c r="L74" s="257"/>
      <c r="M74" s="6"/>
      <c r="N74" s="5"/>
    </row>
    <row r="75" spans="1:14" ht="33.75" x14ac:dyDescent="0.2">
      <c r="A75" s="276" t="s">
        <v>81</v>
      </c>
      <c r="B75" s="277"/>
      <c r="C75" s="278"/>
      <c r="D75" s="278"/>
      <c r="E75" s="278"/>
      <c r="F75" s="278"/>
      <c r="G75" s="261" t="str">
        <f>G$18</f>
        <v>TOTAL
PROGRAM
BUDGET</v>
      </c>
      <c r="H75" s="261" t="str">
        <f t="shared" ref="H75:N75" si="29">H$18</f>
        <v>HSGP GRANT
BUDGET</v>
      </c>
      <c r="I75" s="261" t="str">
        <f t="shared" si="29"/>
        <v>NON-CITY PROGRAM BUDGET</v>
      </c>
      <c r="J75" s="261" t="str">
        <f t="shared" si="29"/>
        <v>HSGP
MID-YEAR EXPEND.</v>
      </c>
      <c r="K75" s="261" t="str">
        <f t="shared" si="29"/>
        <v>HSGP
YEAR-END EXPEND.</v>
      </c>
      <c r="L75" s="261" t="str">
        <f t="shared" si="29"/>
        <v>HSGP TOTAL EXPEND.</v>
      </c>
      <c r="M75" s="18" t="str">
        <f t="shared" si="29"/>
        <v>HSGP PERCENT EXPENDED</v>
      </c>
      <c r="N75" s="93" t="str">
        <f t="shared" si="29"/>
        <v>YEAR-END
 TOTAL PROGRAM EXPEND.</v>
      </c>
    </row>
    <row r="76" spans="1:14" x14ac:dyDescent="0.2">
      <c r="A76" s="295" t="s">
        <v>90</v>
      </c>
      <c r="B76" s="296"/>
      <c r="C76" s="103"/>
      <c r="D76" s="297"/>
      <c r="E76" s="298"/>
      <c r="F76" s="283"/>
      <c r="G76" s="99">
        <v>5033.5199999999995</v>
      </c>
      <c r="H76" s="99">
        <v>1484.5</v>
      </c>
      <c r="I76" s="64">
        <f>G76-H76</f>
        <v>3549.0199999999995</v>
      </c>
      <c r="J76" s="267">
        <v>2267</v>
      </c>
      <c r="K76" s="267">
        <f>1485-J76</f>
        <v>-782</v>
      </c>
      <c r="L76" s="64">
        <f>SUM(J76:K76)</f>
        <v>1485</v>
      </c>
      <c r="M76" s="12">
        <f>IFERROR(L76/H76,"N/A")</f>
        <v>1.0003368137420006</v>
      </c>
      <c r="N76" s="284">
        <f>1485+3278</f>
        <v>4763</v>
      </c>
    </row>
    <row r="77" spans="1:14" x14ac:dyDescent="0.2">
      <c r="A77" s="299" t="s">
        <v>91</v>
      </c>
      <c r="B77" s="296"/>
      <c r="C77" s="103"/>
      <c r="D77" s="297"/>
      <c r="E77" s="298"/>
      <c r="F77" s="283"/>
      <c r="G77" s="100">
        <v>1602</v>
      </c>
      <c r="H77" s="100">
        <v>1000</v>
      </c>
      <c r="I77" s="71">
        <f t="shared" ref="I77:I80" si="30">G77-H77</f>
        <v>602</v>
      </c>
      <c r="J77" s="300">
        <v>1096</v>
      </c>
      <c r="K77" s="300">
        <f>1000-J77</f>
        <v>-96</v>
      </c>
      <c r="L77" s="68">
        <f t="shared" ref="L77:L80" si="31">SUM(J77:K77)</f>
        <v>1000</v>
      </c>
      <c r="M77" s="11">
        <f t="shared" ref="M77:M80" si="32">IFERROR(L77/H77,"N/A")</f>
        <v>1</v>
      </c>
      <c r="N77" s="287">
        <v>2349</v>
      </c>
    </row>
    <row r="78" spans="1:14" x14ac:dyDescent="0.2">
      <c r="A78" s="299" t="s">
        <v>92</v>
      </c>
      <c r="B78" s="296"/>
      <c r="C78" s="103"/>
      <c r="D78" s="297"/>
      <c r="E78" s="298"/>
      <c r="F78" s="283"/>
      <c r="G78" s="100">
        <v>3700</v>
      </c>
      <c r="H78" s="100">
        <v>0</v>
      </c>
      <c r="I78" s="71">
        <f t="shared" si="30"/>
        <v>3700</v>
      </c>
      <c r="J78" s="300">
        <v>0</v>
      </c>
      <c r="K78" s="300">
        <v>0</v>
      </c>
      <c r="L78" s="68">
        <f t="shared" si="31"/>
        <v>0</v>
      </c>
      <c r="M78" s="11" t="str">
        <f t="shared" si="32"/>
        <v>N/A</v>
      </c>
      <c r="N78" s="287">
        <v>3658</v>
      </c>
    </row>
    <row r="79" spans="1:14" x14ac:dyDescent="0.2">
      <c r="A79" s="299" t="s">
        <v>93</v>
      </c>
      <c r="B79" s="296"/>
      <c r="C79" s="103"/>
      <c r="D79" s="297"/>
      <c r="E79" s="298"/>
      <c r="F79" s="283"/>
      <c r="G79" s="100">
        <v>1600</v>
      </c>
      <c r="H79" s="100">
        <v>0</v>
      </c>
      <c r="I79" s="71">
        <f t="shared" si="30"/>
        <v>1600</v>
      </c>
      <c r="J79" s="300">
        <v>0</v>
      </c>
      <c r="K79" s="300">
        <v>0</v>
      </c>
      <c r="L79" s="68">
        <f t="shared" si="31"/>
        <v>0</v>
      </c>
      <c r="M79" s="11" t="str">
        <f t="shared" si="32"/>
        <v>N/A</v>
      </c>
      <c r="N79" s="287">
        <v>0</v>
      </c>
    </row>
    <row r="80" spans="1:14" x14ac:dyDescent="0.2">
      <c r="A80" s="299" t="s">
        <v>94</v>
      </c>
      <c r="B80" s="296"/>
      <c r="C80" s="103"/>
      <c r="D80" s="297"/>
      <c r="E80" s="298"/>
      <c r="F80" s="283"/>
      <c r="G80" s="100">
        <v>5000</v>
      </c>
      <c r="H80" s="111">
        <v>2733</v>
      </c>
      <c r="I80" s="71">
        <f t="shared" si="30"/>
        <v>2267</v>
      </c>
      <c r="J80" s="300">
        <f>1272+946</f>
        <v>2218</v>
      </c>
      <c r="K80" s="300">
        <f>2733-J80</f>
        <v>515</v>
      </c>
      <c r="L80" s="68">
        <f t="shared" si="31"/>
        <v>2733</v>
      </c>
      <c r="M80" s="11">
        <f t="shared" si="32"/>
        <v>1</v>
      </c>
      <c r="N80" s="287">
        <v>0</v>
      </c>
    </row>
    <row r="81" spans="1:14" x14ac:dyDescent="0.2">
      <c r="A81" s="299" t="s">
        <v>95</v>
      </c>
      <c r="B81" s="296"/>
      <c r="C81" s="103"/>
      <c r="D81" s="297"/>
      <c r="E81" s="298"/>
      <c r="F81" s="283"/>
      <c r="G81" s="100">
        <v>99000</v>
      </c>
      <c r="H81" s="111">
        <v>101845</v>
      </c>
      <c r="I81" s="71">
        <f t="shared" ref="I81:I82" si="33">G81-H81</f>
        <v>-2845</v>
      </c>
      <c r="J81" s="300">
        <f>47578</f>
        <v>47578</v>
      </c>
      <c r="K81" s="300">
        <f>101845-J81</f>
        <v>54267</v>
      </c>
      <c r="L81" s="68">
        <f t="shared" ref="L81:L82" si="34">SUM(J81:K81)</f>
        <v>101845</v>
      </c>
      <c r="M81" s="11">
        <f t="shared" ref="M81:M82" si="35">IFERROR(L81/H81,"N/A")</f>
        <v>1</v>
      </c>
      <c r="N81" s="287">
        <v>126897</v>
      </c>
    </row>
    <row r="82" spans="1:14" x14ac:dyDescent="0.2">
      <c r="A82" s="299" t="s">
        <v>96</v>
      </c>
      <c r="B82" s="296"/>
      <c r="C82" s="103"/>
      <c r="D82" s="297"/>
      <c r="E82" s="298"/>
      <c r="F82" s="283"/>
      <c r="G82" s="100">
        <v>35000</v>
      </c>
      <c r="H82" s="100">
        <v>0</v>
      </c>
      <c r="I82" s="71">
        <f t="shared" si="33"/>
        <v>35000</v>
      </c>
      <c r="J82" s="300">
        <v>0</v>
      </c>
      <c r="K82" s="300">
        <v>0</v>
      </c>
      <c r="L82" s="68">
        <f t="shared" si="34"/>
        <v>0</v>
      </c>
      <c r="M82" s="11" t="str">
        <f t="shared" si="35"/>
        <v>N/A</v>
      </c>
      <c r="N82" s="287">
        <v>24626</v>
      </c>
    </row>
    <row r="83" spans="1:14" x14ac:dyDescent="0.2">
      <c r="A83" s="299"/>
      <c r="B83" s="296"/>
      <c r="C83" s="103"/>
      <c r="D83" s="297"/>
      <c r="E83" s="298"/>
      <c r="F83" s="283"/>
      <c r="G83" s="100">
        <v>0</v>
      </c>
      <c r="H83" s="100">
        <v>0</v>
      </c>
      <c r="I83" s="71">
        <f t="shared" ref="I83:I84" si="36">G83-H83</f>
        <v>0</v>
      </c>
      <c r="J83" s="300">
        <v>0</v>
      </c>
      <c r="K83" s="300">
        <v>0</v>
      </c>
      <c r="L83" s="68">
        <f t="shared" ref="L83:L84" si="37">SUM(J83:K83)</f>
        <v>0</v>
      </c>
      <c r="M83" s="11" t="str">
        <f t="shared" ref="M83:M84" si="38">IFERROR(L83/H83,"N/A")</f>
        <v>N/A</v>
      </c>
      <c r="N83" s="287">
        <v>0</v>
      </c>
    </row>
    <row r="84" spans="1:14" x14ac:dyDescent="0.2">
      <c r="A84" s="299"/>
      <c r="B84" s="296"/>
      <c r="C84" s="103"/>
      <c r="D84" s="297"/>
      <c r="E84" s="298"/>
      <c r="F84" s="283"/>
      <c r="G84" s="100">
        <v>0</v>
      </c>
      <c r="H84" s="100">
        <v>0</v>
      </c>
      <c r="I84" s="71">
        <f t="shared" si="36"/>
        <v>0</v>
      </c>
      <c r="J84" s="300">
        <v>0</v>
      </c>
      <c r="K84" s="300">
        <v>0</v>
      </c>
      <c r="L84" s="68">
        <f t="shared" si="37"/>
        <v>0</v>
      </c>
      <c r="M84" s="11" t="str">
        <f t="shared" si="38"/>
        <v>N/A</v>
      </c>
      <c r="N84" s="287">
        <v>0</v>
      </c>
    </row>
    <row r="85" spans="1:14" ht="13.5" thickBot="1" x14ac:dyDescent="0.25">
      <c r="A85" s="228"/>
      <c r="B85" s="229"/>
      <c r="C85" s="292" t="s">
        <v>97</v>
      </c>
      <c r="D85" s="293"/>
      <c r="E85" s="293"/>
      <c r="F85" s="294"/>
      <c r="G85" s="69">
        <f t="shared" ref="G85:L85" si="39">SUM(G76:G84)</f>
        <v>150935.52000000002</v>
      </c>
      <c r="H85" s="69">
        <f t="shared" si="39"/>
        <v>107062.5</v>
      </c>
      <c r="I85" s="69">
        <f t="shared" si="39"/>
        <v>43873.020000000004</v>
      </c>
      <c r="J85" s="69">
        <f t="shared" si="39"/>
        <v>53159</v>
      </c>
      <c r="K85" s="69">
        <f t="shared" si="39"/>
        <v>53904</v>
      </c>
      <c r="L85" s="69">
        <f t="shared" si="39"/>
        <v>107063</v>
      </c>
      <c r="M85" s="19">
        <f>IFERROR(L85/H85,"N/A")</f>
        <v>1.0000046701692937</v>
      </c>
      <c r="N85" s="70">
        <f>SUM(N76:N84)</f>
        <v>162293</v>
      </c>
    </row>
    <row r="86" spans="1:14" ht="13.5" thickBot="1" x14ac:dyDescent="0.25"/>
    <row r="87" spans="1:14" s="258" customFormat="1" x14ac:dyDescent="0.2">
      <c r="A87" s="250" t="s">
        <v>98</v>
      </c>
      <c r="B87" s="251"/>
      <c r="C87" s="251"/>
      <c r="D87" s="251"/>
      <c r="E87" s="251"/>
      <c r="F87" s="252"/>
      <c r="G87" s="253"/>
      <c r="H87" s="253"/>
      <c r="I87" s="253"/>
      <c r="J87" s="253"/>
      <c r="K87" s="253"/>
      <c r="L87" s="253"/>
      <c r="M87" s="4"/>
      <c r="N87" s="3"/>
    </row>
    <row r="88" spans="1:14" x14ac:dyDescent="0.2">
      <c r="A88" s="254" t="s">
        <v>99</v>
      </c>
      <c r="B88" s="255"/>
      <c r="C88" s="255"/>
      <c r="D88" s="255"/>
      <c r="E88" s="255"/>
      <c r="F88" s="256"/>
      <c r="G88" s="257"/>
      <c r="H88" s="257"/>
      <c r="I88" s="257"/>
      <c r="J88" s="257"/>
      <c r="K88" s="257"/>
      <c r="L88" s="257"/>
      <c r="M88" s="6"/>
      <c r="N88" s="5"/>
    </row>
    <row r="89" spans="1:14" ht="33.75" x14ac:dyDescent="0.2">
      <c r="A89" s="276" t="s">
        <v>81</v>
      </c>
      <c r="B89" s="277"/>
      <c r="C89" s="278"/>
      <c r="D89" s="278"/>
      <c r="E89" s="278"/>
      <c r="F89" s="278"/>
      <c r="G89" s="261" t="str">
        <f>G$18</f>
        <v>TOTAL
PROGRAM
BUDGET</v>
      </c>
      <c r="H89" s="261" t="str">
        <f t="shared" ref="H89:N89" si="40">H$18</f>
        <v>HSGP GRANT
BUDGET</v>
      </c>
      <c r="I89" s="261" t="str">
        <f t="shared" si="40"/>
        <v>NON-CITY PROGRAM BUDGET</v>
      </c>
      <c r="J89" s="261" t="str">
        <f t="shared" si="40"/>
        <v>HSGP
MID-YEAR EXPEND.</v>
      </c>
      <c r="K89" s="261" t="str">
        <f t="shared" si="40"/>
        <v>HSGP
YEAR-END EXPEND.</v>
      </c>
      <c r="L89" s="261" t="str">
        <f t="shared" si="40"/>
        <v>HSGP TOTAL EXPEND.</v>
      </c>
      <c r="M89" s="18" t="str">
        <f t="shared" si="40"/>
        <v>HSGP PERCENT EXPENDED</v>
      </c>
      <c r="N89" s="93" t="str">
        <f t="shared" si="40"/>
        <v>YEAR-END
 TOTAL PROGRAM EXPEND.</v>
      </c>
    </row>
    <row r="90" spans="1:14" x14ac:dyDescent="0.2">
      <c r="A90" s="301" t="s">
        <v>100</v>
      </c>
      <c r="B90" s="296"/>
      <c r="C90" s="103"/>
      <c r="D90" s="297"/>
      <c r="E90" s="298"/>
      <c r="F90" s="283"/>
      <c r="G90" s="100">
        <v>50657.399999999994</v>
      </c>
      <c r="H90" s="110">
        <v>33821</v>
      </c>
      <c r="I90" s="64">
        <f t="shared" ref="I90:I105" si="41">G90-H90</f>
        <v>16836.399999999994</v>
      </c>
      <c r="J90" s="267">
        <v>20793.62</v>
      </c>
      <c r="K90" s="267">
        <f>33674+147-J90</f>
        <v>13027.380000000001</v>
      </c>
      <c r="L90" s="64">
        <f>SUM(J90:K90)</f>
        <v>33821</v>
      </c>
      <c r="M90" s="12">
        <f>IFERROR(L90/H90,"N/A")</f>
        <v>1</v>
      </c>
      <c r="N90" s="284">
        <f>33674+14731</f>
        <v>48405</v>
      </c>
    </row>
    <row r="91" spans="1:14" x14ac:dyDescent="0.2">
      <c r="A91" s="302" t="s">
        <v>101</v>
      </c>
      <c r="B91" s="296"/>
      <c r="C91" s="103"/>
      <c r="D91" s="297"/>
      <c r="E91" s="298"/>
      <c r="F91" s="283"/>
      <c r="G91" s="100">
        <v>17886.439999999999</v>
      </c>
      <c r="H91" s="110">
        <v>14000</v>
      </c>
      <c r="I91" s="68">
        <f t="shared" si="41"/>
        <v>3886.4399999999987</v>
      </c>
      <c r="J91" s="267">
        <v>8749.76</v>
      </c>
      <c r="K91" s="286">
        <f>14000-J91</f>
        <v>5250.24</v>
      </c>
      <c r="L91" s="68">
        <f>SUM(J91:K91)</f>
        <v>14000</v>
      </c>
      <c r="M91" s="11">
        <f>IFERROR(L91/H91,"N/A")</f>
        <v>1</v>
      </c>
      <c r="N91" s="287">
        <f>14000+7003</f>
        <v>21003</v>
      </c>
    </row>
    <row r="92" spans="1:14" x14ac:dyDescent="0.2">
      <c r="A92" s="302" t="s">
        <v>102</v>
      </c>
      <c r="B92" s="296"/>
      <c r="C92" s="103"/>
      <c r="D92" s="297"/>
      <c r="E92" s="298"/>
      <c r="F92" s="283"/>
      <c r="G92" s="100">
        <v>12007.679999999998</v>
      </c>
      <c r="H92" s="110">
        <v>7000</v>
      </c>
      <c r="I92" s="64">
        <f t="shared" ref="I92:I100" si="42">G92-H92</f>
        <v>5007.6799999999985</v>
      </c>
      <c r="J92" s="267">
        <f>7311.68+291.52+88.45</f>
        <v>7691.6500000000005</v>
      </c>
      <c r="K92" s="267">
        <f>7000-J92</f>
        <v>-691.65000000000055</v>
      </c>
      <c r="L92" s="64">
        <f t="shared" ref="L92:L95" si="43">SUM(J92:K92)</f>
        <v>7000</v>
      </c>
      <c r="M92" s="12">
        <f t="shared" ref="M92:M95" si="44">IFERROR(L92/H92,"N/A")</f>
        <v>1</v>
      </c>
      <c r="N92" s="284">
        <f>7000+8127</f>
        <v>15127</v>
      </c>
    </row>
    <row r="93" spans="1:14" x14ac:dyDescent="0.2">
      <c r="A93" s="302" t="s">
        <v>103</v>
      </c>
      <c r="B93" s="296"/>
      <c r="C93" s="103"/>
      <c r="D93" s="297"/>
      <c r="E93" s="298"/>
      <c r="F93" s="283"/>
      <c r="G93" s="100">
        <v>655</v>
      </c>
      <c r="H93" s="110">
        <v>842</v>
      </c>
      <c r="I93" s="64">
        <f t="shared" si="42"/>
        <v>-187</v>
      </c>
      <c r="J93" s="267">
        <f>772.88</f>
        <v>772.88</v>
      </c>
      <c r="K93" s="267">
        <f>842.29-J93</f>
        <v>69.409999999999968</v>
      </c>
      <c r="L93" s="64">
        <f t="shared" si="43"/>
        <v>842.29</v>
      </c>
      <c r="M93" s="12">
        <f t="shared" si="44"/>
        <v>1.0003444180522565</v>
      </c>
      <c r="N93" s="284">
        <f>1418</f>
        <v>1418</v>
      </c>
    </row>
    <row r="94" spans="1:14" x14ac:dyDescent="0.2">
      <c r="A94" s="302" t="s">
        <v>104</v>
      </c>
      <c r="B94" s="296"/>
      <c r="C94" s="103"/>
      <c r="D94" s="297"/>
      <c r="E94" s="298"/>
      <c r="F94" s="283"/>
      <c r="G94" s="100">
        <v>3600</v>
      </c>
      <c r="H94" s="110">
        <v>3000</v>
      </c>
      <c r="I94" s="64">
        <f t="shared" si="42"/>
        <v>600</v>
      </c>
      <c r="J94" s="267">
        <v>3596.5</v>
      </c>
      <c r="K94" s="267">
        <f>3000-J94</f>
        <v>-596.5</v>
      </c>
      <c r="L94" s="64">
        <f t="shared" si="43"/>
        <v>3000</v>
      </c>
      <c r="M94" s="12">
        <f t="shared" si="44"/>
        <v>1</v>
      </c>
      <c r="N94" s="284">
        <f>3000+4337</f>
        <v>7337</v>
      </c>
    </row>
    <row r="95" spans="1:14" x14ac:dyDescent="0.2">
      <c r="A95" s="302" t="s">
        <v>105</v>
      </c>
      <c r="B95" s="296"/>
      <c r="C95" s="103"/>
      <c r="D95" s="297"/>
      <c r="E95" s="298"/>
      <c r="F95" s="283"/>
      <c r="G95" s="100">
        <v>2400</v>
      </c>
      <c r="H95" s="111">
        <v>863</v>
      </c>
      <c r="I95" s="71">
        <f t="shared" si="42"/>
        <v>1537</v>
      </c>
      <c r="J95" s="300">
        <v>450.8</v>
      </c>
      <c r="K95" s="300">
        <f>863-J95</f>
        <v>412.2</v>
      </c>
      <c r="L95" s="68">
        <f t="shared" si="43"/>
        <v>863</v>
      </c>
      <c r="M95" s="11">
        <f t="shared" si="44"/>
        <v>1</v>
      </c>
      <c r="N95" s="287">
        <v>982</v>
      </c>
    </row>
    <row r="96" spans="1:14" x14ac:dyDescent="0.2">
      <c r="A96" s="302" t="s">
        <v>106</v>
      </c>
      <c r="B96" s="296"/>
      <c r="C96" s="103"/>
      <c r="D96" s="297"/>
      <c r="E96" s="298"/>
      <c r="F96" s="283"/>
      <c r="G96" s="100">
        <v>3600</v>
      </c>
      <c r="H96" s="110">
        <v>1691</v>
      </c>
      <c r="I96" s="68">
        <f t="shared" si="42"/>
        <v>1909</v>
      </c>
      <c r="J96" s="267">
        <v>2851.65</v>
      </c>
      <c r="K96" s="286">
        <f>1691-J96</f>
        <v>-1160.6500000000001</v>
      </c>
      <c r="L96" s="68">
        <f>SUM(J96:K96)</f>
        <v>1691</v>
      </c>
      <c r="M96" s="11">
        <f>IFERROR(L96/H96,"N/A")</f>
        <v>1</v>
      </c>
      <c r="N96" s="287">
        <v>6218</v>
      </c>
    </row>
    <row r="97" spans="1:14" x14ac:dyDescent="0.2">
      <c r="A97" s="302" t="s">
        <v>107</v>
      </c>
      <c r="B97" s="296"/>
      <c r="C97" s="103"/>
      <c r="D97" s="297"/>
      <c r="E97" s="298"/>
      <c r="F97" s="283"/>
      <c r="G97" s="100">
        <v>4716.7200000000012</v>
      </c>
      <c r="H97" s="110">
        <v>3680</v>
      </c>
      <c r="I97" s="64">
        <f t="shared" si="42"/>
        <v>1036.7200000000012</v>
      </c>
      <c r="J97" s="267">
        <v>3181.34</v>
      </c>
      <c r="K97" s="267">
        <f>3680-J97</f>
        <v>498.65999999999985</v>
      </c>
      <c r="L97" s="64">
        <f t="shared" ref="L97:L100" si="45">SUM(J97:K97)</f>
        <v>3680</v>
      </c>
      <c r="M97" s="12">
        <f t="shared" ref="M97:M100" si="46">IFERROR(L97/H97,"N/A")</f>
        <v>1</v>
      </c>
      <c r="N97" s="284">
        <v>8731</v>
      </c>
    </row>
    <row r="98" spans="1:14" x14ac:dyDescent="0.2">
      <c r="A98" s="302" t="s">
        <v>108</v>
      </c>
      <c r="B98" s="296"/>
      <c r="C98" s="103"/>
      <c r="D98" s="297"/>
      <c r="E98" s="298"/>
      <c r="F98" s="283"/>
      <c r="G98" s="100">
        <v>3000</v>
      </c>
      <c r="H98" s="110">
        <v>477</v>
      </c>
      <c r="I98" s="64">
        <f t="shared" si="42"/>
        <v>2523</v>
      </c>
      <c r="J98" s="267">
        <v>256.2</v>
      </c>
      <c r="K98" s="267">
        <f>477-J98</f>
        <v>220.8</v>
      </c>
      <c r="L98" s="64">
        <f t="shared" si="45"/>
        <v>477</v>
      </c>
      <c r="M98" s="12">
        <f t="shared" si="46"/>
        <v>1</v>
      </c>
      <c r="N98" s="284">
        <v>507</v>
      </c>
    </row>
    <row r="99" spans="1:14" x14ac:dyDescent="0.2">
      <c r="A99" s="302" t="s">
        <v>109</v>
      </c>
      <c r="B99" s="296"/>
      <c r="C99" s="103"/>
      <c r="D99" s="297"/>
      <c r="E99" s="298"/>
      <c r="F99" s="283"/>
      <c r="G99" s="100">
        <v>1000</v>
      </c>
      <c r="H99" s="110">
        <v>561</v>
      </c>
      <c r="I99" s="64">
        <f t="shared" si="42"/>
        <v>439</v>
      </c>
      <c r="J99" s="267">
        <v>631.15</v>
      </c>
      <c r="K99" s="267">
        <f>561-J99</f>
        <v>-70.149999999999977</v>
      </c>
      <c r="L99" s="64">
        <f t="shared" si="45"/>
        <v>561</v>
      </c>
      <c r="M99" s="12">
        <f t="shared" si="46"/>
        <v>1</v>
      </c>
      <c r="N99" s="284">
        <f>1416+984</f>
        <v>2400</v>
      </c>
    </row>
    <row r="100" spans="1:14" x14ac:dyDescent="0.2">
      <c r="A100" s="302" t="s">
        <v>110</v>
      </c>
      <c r="B100" s="296"/>
      <c r="C100" s="103"/>
      <c r="D100" s="297"/>
      <c r="E100" s="298"/>
      <c r="F100" s="283"/>
      <c r="G100" s="100">
        <v>1000</v>
      </c>
      <c r="H100" s="111">
        <v>168</v>
      </c>
      <c r="I100" s="71">
        <f t="shared" si="42"/>
        <v>832</v>
      </c>
      <c r="J100" s="300">
        <v>167.5</v>
      </c>
      <c r="K100" s="300">
        <f>168-J100</f>
        <v>0.5</v>
      </c>
      <c r="L100" s="68">
        <f t="shared" si="45"/>
        <v>168</v>
      </c>
      <c r="M100" s="11">
        <f t="shared" si="46"/>
        <v>1</v>
      </c>
      <c r="N100" s="287">
        <v>342</v>
      </c>
    </row>
    <row r="101" spans="1:14" x14ac:dyDescent="0.2">
      <c r="A101" s="302" t="s">
        <v>111</v>
      </c>
      <c r="B101" s="296"/>
      <c r="C101" s="103"/>
      <c r="D101" s="297"/>
      <c r="E101" s="298"/>
      <c r="F101" s="283"/>
      <c r="G101" s="100">
        <v>1800</v>
      </c>
      <c r="H101" s="110">
        <v>0</v>
      </c>
      <c r="I101" s="64">
        <f t="shared" si="41"/>
        <v>1800</v>
      </c>
      <c r="J101" s="267">
        <v>0</v>
      </c>
      <c r="K101" s="267">
        <v>0</v>
      </c>
      <c r="L101" s="64">
        <f t="shared" ref="L101:L103" si="47">SUM(J101:K101)</f>
        <v>0</v>
      </c>
      <c r="M101" s="12" t="str">
        <f t="shared" ref="M101:M103" si="48">IFERROR(L101/H101,"N/A")</f>
        <v>N/A</v>
      </c>
      <c r="N101" s="284">
        <v>5232</v>
      </c>
    </row>
    <row r="102" spans="1:14" x14ac:dyDescent="0.2">
      <c r="A102" s="302" t="s">
        <v>112</v>
      </c>
      <c r="B102" s="296"/>
      <c r="C102" s="103"/>
      <c r="D102" s="297"/>
      <c r="E102" s="298"/>
      <c r="F102" s="283"/>
      <c r="G102" s="100">
        <v>1500</v>
      </c>
      <c r="H102" s="110">
        <v>825</v>
      </c>
      <c r="I102" s="64">
        <f t="shared" si="41"/>
        <v>675</v>
      </c>
      <c r="J102" s="267">
        <v>653.5</v>
      </c>
      <c r="K102" s="267">
        <f>825-J102</f>
        <v>171.5</v>
      </c>
      <c r="L102" s="64">
        <f t="shared" si="47"/>
        <v>825</v>
      </c>
      <c r="M102" s="12">
        <f t="shared" si="48"/>
        <v>1</v>
      </c>
      <c r="N102" s="284">
        <v>2008</v>
      </c>
    </row>
    <row r="103" spans="1:14" x14ac:dyDescent="0.2">
      <c r="A103" s="302" t="s">
        <v>113</v>
      </c>
      <c r="B103" s="296"/>
      <c r="C103" s="103"/>
      <c r="D103" s="297"/>
      <c r="E103" s="298"/>
      <c r="F103" s="283"/>
      <c r="G103" s="100">
        <v>2000</v>
      </c>
      <c r="H103" s="99">
        <v>0</v>
      </c>
      <c r="I103" s="64">
        <f t="shared" si="41"/>
        <v>2000</v>
      </c>
      <c r="J103" s="267">
        <v>0</v>
      </c>
      <c r="K103" s="267">
        <f>0</f>
        <v>0</v>
      </c>
      <c r="L103" s="64">
        <f t="shared" si="47"/>
        <v>0</v>
      </c>
      <c r="M103" s="12" t="str">
        <f t="shared" si="48"/>
        <v>N/A</v>
      </c>
      <c r="N103" s="284">
        <v>144</v>
      </c>
    </row>
    <row r="104" spans="1:14" x14ac:dyDescent="0.2">
      <c r="A104" s="299"/>
      <c r="B104" s="296"/>
      <c r="C104" s="103"/>
      <c r="D104" s="297"/>
      <c r="E104" s="298"/>
      <c r="F104" s="283"/>
      <c r="G104" s="100">
        <v>0</v>
      </c>
      <c r="H104" s="99">
        <v>0</v>
      </c>
      <c r="I104" s="64">
        <f t="shared" si="41"/>
        <v>0</v>
      </c>
      <c r="J104" s="267">
        <v>0</v>
      </c>
      <c r="K104" s="267">
        <v>0</v>
      </c>
      <c r="L104" s="64">
        <f t="shared" ref="L104:L105" si="49">SUM(J104:K104)</f>
        <v>0</v>
      </c>
      <c r="M104" s="12" t="str">
        <f t="shared" ref="M104:M105" si="50">IFERROR(L104/H104,"N/A")</f>
        <v>N/A</v>
      </c>
      <c r="N104" s="284">
        <v>3245</v>
      </c>
    </row>
    <row r="105" spans="1:14" x14ac:dyDescent="0.2">
      <c r="A105" s="299"/>
      <c r="B105" s="296"/>
      <c r="C105" s="103"/>
      <c r="D105" s="297"/>
      <c r="E105" s="298"/>
      <c r="F105" s="283"/>
      <c r="G105" s="100">
        <v>0</v>
      </c>
      <c r="H105" s="99">
        <v>0</v>
      </c>
      <c r="I105" s="68">
        <f t="shared" si="41"/>
        <v>0</v>
      </c>
      <c r="J105" s="267">
        <v>0</v>
      </c>
      <c r="K105" s="286">
        <v>0</v>
      </c>
      <c r="L105" s="68">
        <f t="shared" si="49"/>
        <v>0</v>
      </c>
      <c r="M105" s="11" t="str">
        <f t="shared" si="50"/>
        <v>N/A</v>
      </c>
      <c r="N105" s="287">
        <v>2863</v>
      </c>
    </row>
    <row r="106" spans="1:14" ht="13.5" thickBot="1" x14ac:dyDescent="0.25">
      <c r="A106" s="228"/>
      <c r="B106" s="229"/>
      <c r="C106" s="292" t="s">
        <v>114</v>
      </c>
      <c r="D106" s="293"/>
      <c r="E106" s="293"/>
      <c r="F106" s="294"/>
      <c r="G106" s="69">
        <f t="shared" ref="G106:L106" si="51">SUM(G90:G105)</f>
        <v>105823.23999999999</v>
      </c>
      <c r="H106" s="69">
        <f t="shared" si="51"/>
        <v>66928</v>
      </c>
      <c r="I106" s="69">
        <f t="shared" si="51"/>
        <v>38895.239999999991</v>
      </c>
      <c r="J106" s="69">
        <f t="shared" si="51"/>
        <v>49796.549999999996</v>
      </c>
      <c r="K106" s="69">
        <f t="shared" si="51"/>
        <v>17131.740000000002</v>
      </c>
      <c r="L106" s="69">
        <f t="shared" si="51"/>
        <v>66928.290000000008</v>
      </c>
      <c r="M106" s="19">
        <f>IFERROR(L106/H106,"N/A")</f>
        <v>1.0000043330145829</v>
      </c>
      <c r="N106" s="70">
        <f>SUM(N90:N105)</f>
        <v>125962</v>
      </c>
    </row>
    <row r="107" spans="1:14" ht="13.5" thickBot="1" x14ac:dyDescent="0.25"/>
    <row r="108" spans="1:14" s="258" customFormat="1" x14ac:dyDescent="0.2">
      <c r="A108" s="275" t="s">
        <v>115</v>
      </c>
      <c r="B108" s="251"/>
      <c r="C108" s="251"/>
      <c r="D108" s="251"/>
      <c r="E108" s="251"/>
      <c r="F108" s="252"/>
      <c r="G108" s="253"/>
      <c r="H108" s="253"/>
      <c r="I108" s="253"/>
      <c r="J108" s="253"/>
      <c r="K108" s="253"/>
      <c r="L108" s="253"/>
      <c r="M108" s="4"/>
      <c r="N108" s="3"/>
    </row>
    <row r="109" spans="1:14" x14ac:dyDescent="0.2">
      <c r="A109" s="254" t="s">
        <v>116</v>
      </c>
      <c r="B109" s="255"/>
      <c r="C109" s="255"/>
      <c r="D109" s="255"/>
      <c r="E109" s="255"/>
      <c r="F109" s="256"/>
      <c r="G109" s="257"/>
      <c r="H109" s="257"/>
      <c r="I109" s="257"/>
      <c r="J109" s="257"/>
      <c r="K109" s="257"/>
      <c r="L109" s="257"/>
      <c r="M109" s="6"/>
      <c r="N109" s="5"/>
    </row>
    <row r="110" spans="1:14" ht="33.75" x14ac:dyDescent="0.2">
      <c r="A110" s="276" t="s">
        <v>81</v>
      </c>
      <c r="B110" s="277"/>
      <c r="C110" s="278"/>
      <c r="D110" s="278"/>
      <c r="E110" s="278"/>
      <c r="F110" s="278"/>
      <c r="G110" s="261" t="str">
        <f>G$18</f>
        <v>TOTAL
PROGRAM
BUDGET</v>
      </c>
      <c r="H110" s="261" t="str">
        <f t="shared" ref="H110:N110" si="52">H$18</f>
        <v>HSGP GRANT
BUDGET</v>
      </c>
      <c r="I110" s="261" t="str">
        <f t="shared" si="52"/>
        <v>NON-CITY PROGRAM BUDGET</v>
      </c>
      <c r="J110" s="261" t="str">
        <f t="shared" si="52"/>
        <v>HSGP
MID-YEAR EXPEND.</v>
      </c>
      <c r="K110" s="261" t="str">
        <f t="shared" si="52"/>
        <v>HSGP
YEAR-END EXPEND.</v>
      </c>
      <c r="L110" s="261" t="str">
        <f t="shared" si="52"/>
        <v>HSGP TOTAL EXPEND.</v>
      </c>
      <c r="M110" s="18" t="str">
        <f t="shared" si="52"/>
        <v>HSGP PERCENT EXPENDED</v>
      </c>
      <c r="N110" s="93" t="str">
        <f t="shared" si="52"/>
        <v>YEAR-END
 TOTAL PROGRAM EXPEND.</v>
      </c>
    </row>
    <row r="111" spans="1:14" x14ac:dyDescent="0.2">
      <c r="A111" s="299" t="s">
        <v>117</v>
      </c>
      <c r="B111" s="296" t="s">
        <v>118</v>
      </c>
      <c r="C111" s="103"/>
      <c r="D111" s="297"/>
      <c r="E111" s="298"/>
      <c r="F111" s="283"/>
      <c r="G111" s="99">
        <v>4500</v>
      </c>
      <c r="H111" s="99">
        <v>0</v>
      </c>
      <c r="I111" s="64">
        <f t="shared" ref="I111" si="53">G111-H111</f>
        <v>4500</v>
      </c>
      <c r="J111" s="267">
        <v>0</v>
      </c>
      <c r="K111" s="267">
        <v>0</v>
      </c>
      <c r="L111" s="64">
        <f t="shared" ref="L111" si="54">SUM(J111:K111)</f>
        <v>0</v>
      </c>
      <c r="M111" s="12" t="str">
        <f t="shared" ref="M111" si="55">IFERROR(L111/H111,"N/A")</f>
        <v>N/A</v>
      </c>
      <c r="N111" s="284">
        <v>0</v>
      </c>
    </row>
    <row r="112" spans="1:14" x14ac:dyDescent="0.2">
      <c r="A112" s="299"/>
      <c r="B112" s="296"/>
      <c r="C112" s="103"/>
      <c r="D112" s="297"/>
      <c r="E112" s="298"/>
      <c r="F112" s="283"/>
      <c r="G112" s="99">
        <v>0</v>
      </c>
      <c r="H112" s="99">
        <v>0</v>
      </c>
      <c r="I112" s="64">
        <f t="shared" ref="I112:I113" si="56">G112-H112</f>
        <v>0</v>
      </c>
      <c r="J112" s="267">
        <v>0</v>
      </c>
      <c r="K112" s="267">
        <v>0</v>
      </c>
      <c r="L112" s="64">
        <f t="shared" ref="L112:L113" si="57">SUM(J112:K112)</f>
        <v>0</v>
      </c>
      <c r="M112" s="12" t="str">
        <f t="shared" ref="M112:M113" si="58">IFERROR(L112/H112,"N/A")</f>
        <v>N/A</v>
      </c>
      <c r="N112" s="284">
        <v>0</v>
      </c>
    </row>
    <row r="113" spans="1:14" x14ac:dyDescent="0.2">
      <c r="A113" s="299"/>
      <c r="B113" s="296"/>
      <c r="C113" s="104"/>
      <c r="D113" s="303"/>
      <c r="E113" s="304"/>
      <c r="F113" s="283"/>
      <c r="G113" s="100">
        <v>0</v>
      </c>
      <c r="H113" s="100">
        <v>0</v>
      </c>
      <c r="I113" s="71">
        <f t="shared" si="56"/>
        <v>0</v>
      </c>
      <c r="J113" s="300">
        <v>0</v>
      </c>
      <c r="K113" s="300">
        <v>0</v>
      </c>
      <c r="L113" s="68">
        <f t="shared" si="57"/>
        <v>0</v>
      </c>
      <c r="M113" s="11" t="str">
        <f t="shared" si="58"/>
        <v>N/A</v>
      </c>
      <c r="N113" s="287">
        <v>0</v>
      </c>
    </row>
    <row r="114" spans="1:14" ht="13.5" thickBot="1" x14ac:dyDescent="0.25">
      <c r="A114" s="228"/>
      <c r="B114" s="229"/>
      <c r="C114" s="292" t="s">
        <v>119</v>
      </c>
      <c r="D114" s="293"/>
      <c r="E114" s="293"/>
      <c r="F114" s="294"/>
      <c r="G114" s="69">
        <f t="shared" ref="G114:L114" si="59">SUM(G111:G113)</f>
        <v>4500</v>
      </c>
      <c r="H114" s="69">
        <f t="shared" si="59"/>
        <v>0</v>
      </c>
      <c r="I114" s="69">
        <f t="shared" si="59"/>
        <v>4500</v>
      </c>
      <c r="J114" s="69">
        <f t="shared" si="59"/>
        <v>0</v>
      </c>
      <c r="K114" s="69">
        <f t="shared" si="59"/>
        <v>0</v>
      </c>
      <c r="L114" s="69">
        <f t="shared" si="59"/>
        <v>0</v>
      </c>
      <c r="M114" s="19" t="str">
        <f>IFERROR(L114/H114,"N/A")</f>
        <v>N/A</v>
      </c>
      <c r="N114" s="70">
        <f>SUM(N111:N113)</f>
        <v>0</v>
      </c>
    </row>
    <row r="115" spans="1:14" ht="13.5" thickBot="1" x14ac:dyDescent="0.25"/>
    <row r="116" spans="1:14" s="258" customFormat="1" x14ac:dyDescent="0.2">
      <c r="A116" s="275" t="s">
        <v>120</v>
      </c>
      <c r="B116" s="251"/>
      <c r="C116" s="251"/>
      <c r="D116" s="251"/>
      <c r="E116" s="251"/>
      <c r="F116" s="252"/>
      <c r="G116" s="253"/>
      <c r="H116" s="253"/>
      <c r="I116" s="253"/>
      <c r="J116" s="253"/>
      <c r="K116" s="253"/>
      <c r="L116" s="253"/>
      <c r="M116" s="4"/>
      <c r="N116" s="3"/>
    </row>
    <row r="117" spans="1:14" x14ac:dyDescent="0.2">
      <c r="A117" s="254" t="s">
        <v>121</v>
      </c>
      <c r="B117" s="255"/>
      <c r="C117" s="255"/>
      <c r="D117" s="255"/>
      <c r="E117" s="255"/>
      <c r="F117" s="256"/>
      <c r="G117" s="257"/>
      <c r="H117" s="257"/>
      <c r="I117" s="257"/>
      <c r="J117" s="257"/>
      <c r="K117" s="257"/>
      <c r="L117" s="257"/>
      <c r="M117" s="6"/>
      <c r="N117" s="5"/>
    </row>
    <row r="118" spans="1:14" ht="33.75" x14ac:dyDescent="0.2">
      <c r="A118" s="276" t="s">
        <v>81</v>
      </c>
      <c r="B118" s="277"/>
      <c r="C118" s="278"/>
      <c r="D118" s="278"/>
      <c r="E118" s="278"/>
      <c r="F118" s="278"/>
      <c r="G118" s="261" t="str">
        <f>G$18</f>
        <v>TOTAL
PROGRAM
BUDGET</v>
      </c>
      <c r="H118" s="261" t="str">
        <f t="shared" ref="H118:N118" si="60">H$18</f>
        <v>HSGP GRANT
BUDGET</v>
      </c>
      <c r="I118" s="261" t="str">
        <f t="shared" si="60"/>
        <v>NON-CITY PROGRAM BUDGET</v>
      </c>
      <c r="J118" s="261" t="str">
        <f t="shared" si="60"/>
        <v>HSGP
MID-YEAR EXPEND.</v>
      </c>
      <c r="K118" s="261" t="str">
        <f t="shared" si="60"/>
        <v>HSGP
YEAR-END EXPEND.</v>
      </c>
      <c r="L118" s="261" t="str">
        <f t="shared" si="60"/>
        <v>HSGP TOTAL EXPEND.</v>
      </c>
      <c r="M118" s="18" t="str">
        <f t="shared" si="60"/>
        <v>HSGP PERCENT EXPENDED</v>
      </c>
      <c r="N118" s="93" t="str">
        <f t="shared" si="60"/>
        <v>YEAR-END
 TOTAL PROGRAM EXPEND.</v>
      </c>
    </row>
    <row r="119" spans="1:14" x14ac:dyDescent="0.2">
      <c r="A119" s="302"/>
      <c r="B119" s="296"/>
      <c r="C119" s="103"/>
      <c r="D119" s="297"/>
      <c r="E119" s="298"/>
      <c r="F119" s="283"/>
      <c r="G119" s="99">
        <v>0</v>
      </c>
      <c r="H119" s="99">
        <v>0</v>
      </c>
      <c r="I119" s="64">
        <f t="shared" ref="I119:I121" si="61">G119-H119</f>
        <v>0</v>
      </c>
      <c r="J119" s="267">
        <v>0</v>
      </c>
      <c r="K119" s="267">
        <v>0</v>
      </c>
      <c r="L119" s="64">
        <f t="shared" ref="L119:L121" si="62">SUM(J119:K119)</f>
        <v>0</v>
      </c>
      <c r="M119" s="12" t="str">
        <f t="shared" ref="M119:M121" si="63">IFERROR(L119/H119,"N/A")</f>
        <v>N/A</v>
      </c>
      <c r="N119" s="284">
        <v>0</v>
      </c>
    </row>
    <row r="120" spans="1:14" x14ac:dyDescent="0.2">
      <c r="A120" s="299"/>
      <c r="B120" s="296"/>
      <c r="C120" s="103"/>
      <c r="D120" s="297"/>
      <c r="E120" s="298"/>
      <c r="F120" s="283"/>
      <c r="G120" s="99">
        <v>0</v>
      </c>
      <c r="H120" s="99">
        <v>0</v>
      </c>
      <c r="I120" s="64">
        <f t="shared" si="61"/>
        <v>0</v>
      </c>
      <c r="J120" s="267">
        <v>0</v>
      </c>
      <c r="K120" s="267">
        <v>0</v>
      </c>
      <c r="L120" s="64">
        <f t="shared" si="62"/>
        <v>0</v>
      </c>
      <c r="M120" s="12" t="str">
        <f t="shared" si="63"/>
        <v>N/A</v>
      </c>
      <c r="N120" s="284">
        <v>0</v>
      </c>
    </row>
    <row r="121" spans="1:14" x14ac:dyDescent="0.2">
      <c r="A121" s="299"/>
      <c r="B121" s="296"/>
      <c r="C121" s="104"/>
      <c r="D121" s="303"/>
      <c r="E121" s="304"/>
      <c r="F121" s="283"/>
      <c r="G121" s="99">
        <v>0</v>
      </c>
      <c r="H121" s="99">
        <v>0</v>
      </c>
      <c r="I121" s="64">
        <f t="shared" si="61"/>
        <v>0</v>
      </c>
      <c r="J121" s="267">
        <v>0</v>
      </c>
      <c r="K121" s="267">
        <v>0</v>
      </c>
      <c r="L121" s="64">
        <f t="shared" si="62"/>
        <v>0</v>
      </c>
      <c r="M121" s="12" t="str">
        <f t="shared" si="63"/>
        <v>N/A</v>
      </c>
      <c r="N121" s="284">
        <v>0</v>
      </c>
    </row>
    <row r="122" spans="1:14" ht="13.5" thickBot="1" x14ac:dyDescent="0.25">
      <c r="A122" s="228"/>
      <c r="B122" s="229"/>
      <c r="C122" s="292" t="s">
        <v>122</v>
      </c>
      <c r="D122" s="293"/>
      <c r="E122" s="293"/>
      <c r="F122" s="294"/>
      <c r="G122" s="69">
        <f t="shared" ref="G122:L122" si="64">SUM(G119:G121)</f>
        <v>0</v>
      </c>
      <c r="H122" s="69">
        <f t="shared" si="64"/>
        <v>0</v>
      </c>
      <c r="I122" s="69">
        <f t="shared" si="64"/>
        <v>0</v>
      </c>
      <c r="J122" s="69">
        <f t="shared" si="64"/>
        <v>0</v>
      </c>
      <c r="K122" s="69">
        <f t="shared" si="64"/>
        <v>0</v>
      </c>
      <c r="L122" s="69">
        <f t="shared" si="64"/>
        <v>0</v>
      </c>
      <c r="M122" s="19" t="str">
        <f>IFERROR(L122/H122,"N/A")</f>
        <v>N/A</v>
      </c>
      <c r="N122" s="70">
        <f>SUM(N119:N121)</f>
        <v>0</v>
      </c>
    </row>
    <row r="123" spans="1:14" ht="13.5" thickBot="1" x14ac:dyDescent="0.25"/>
    <row r="124" spans="1:14" s="258" customFormat="1" x14ac:dyDescent="0.2">
      <c r="A124" s="275" t="s">
        <v>123</v>
      </c>
      <c r="B124" s="251"/>
      <c r="C124" s="251"/>
      <c r="D124" s="251"/>
      <c r="E124" s="251"/>
      <c r="F124" s="252"/>
      <c r="G124" s="253"/>
      <c r="H124" s="253"/>
      <c r="I124" s="253"/>
      <c r="J124" s="253"/>
      <c r="K124" s="253"/>
      <c r="L124" s="253"/>
      <c r="M124" s="4"/>
      <c r="N124" s="3"/>
    </row>
    <row r="125" spans="1:14" s="258" customFormat="1" ht="11.25" x14ac:dyDescent="0.2">
      <c r="A125" s="254" t="s">
        <v>124</v>
      </c>
      <c r="B125" s="305"/>
      <c r="C125" s="305"/>
      <c r="D125" s="305"/>
      <c r="E125" s="305"/>
      <c r="F125" s="256"/>
      <c r="G125" s="256"/>
      <c r="H125" s="256"/>
      <c r="I125" s="256"/>
      <c r="J125" s="256"/>
      <c r="K125" s="256"/>
      <c r="L125" s="256"/>
      <c r="M125" s="56"/>
      <c r="N125" s="306"/>
    </row>
    <row r="126" spans="1:14" s="258" customFormat="1" ht="11.25" x14ac:dyDescent="0.2">
      <c r="A126" s="307" t="s">
        <v>125</v>
      </c>
      <c r="B126" s="305"/>
      <c r="C126" s="305"/>
      <c r="D126" s="305"/>
      <c r="E126" s="305"/>
      <c r="F126" s="256"/>
      <c r="G126" s="256"/>
      <c r="H126" s="256"/>
      <c r="I126" s="256"/>
      <c r="J126" s="256"/>
      <c r="K126" s="256"/>
      <c r="L126" s="256"/>
      <c r="M126" s="56"/>
      <c r="N126" s="306"/>
    </row>
    <row r="127" spans="1:14" s="258" customFormat="1" ht="12" x14ac:dyDescent="0.2">
      <c r="A127" s="308" t="s">
        <v>126</v>
      </c>
      <c r="B127" s="305"/>
      <c r="C127" s="305"/>
      <c r="D127" s="305"/>
      <c r="E127" s="305"/>
      <c r="F127" s="305"/>
      <c r="G127" s="20"/>
      <c r="H127" s="20"/>
      <c r="I127" s="20"/>
      <c r="J127" s="20"/>
      <c r="K127" s="20"/>
      <c r="L127" s="20"/>
      <c r="M127" s="21"/>
      <c r="N127" s="22"/>
    </row>
    <row r="128" spans="1:14" ht="34.5" thickBot="1" x14ac:dyDescent="0.25">
      <c r="A128" s="276" t="s">
        <v>81</v>
      </c>
      <c r="B128" s="277"/>
      <c r="C128" s="278"/>
      <c r="D128" s="278"/>
      <c r="E128" s="278"/>
      <c r="F128" s="278"/>
      <c r="G128" s="261" t="str">
        <f>G$18</f>
        <v>TOTAL
PROGRAM
BUDGET</v>
      </c>
      <c r="H128" s="261" t="str">
        <f t="shared" ref="H128:N128" si="65">H$18</f>
        <v>HSGP GRANT
BUDGET</v>
      </c>
      <c r="I128" s="261" t="str">
        <f t="shared" si="65"/>
        <v>NON-CITY PROGRAM BUDGET</v>
      </c>
      <c r="J128" s="261" t="str">
        <f t="shared" si="65"/>
        <v>HSGP
MID-YEAR EXPEND.</v>
      </c>
      <c r="K128" s="261" t="str">
        <f t="shared" si="65"/>
        <v>HSGP
YEAR-END EXPEND.</v>
      </c>
      <c r="L128" s="261" t="str">
        <f t="shared" si="65"/>
        <v>HSGP TOTAL EXPEND.</v>
      </c>
      <c r="M128" s="18" t="str">
        <f t="shared" si="65"/>
        <v>HSGP PERCENT EXPENDED</v>
      </c>
      <c r="N128" s="93" t="str">
        <f t="shared" si="65"/>
        <v>YEAR-END
 TOTAL PROGRAM EXPEND.</v>
      </c>
    </row>
    <row r="129" spans="1:14" ht="13.5" thickBot="1" x14ac:dyDescent="0.25">
      <c r="A129" s="309" t="s">
        <v>127</v>
      </c>
      <c r="B129" s="310"/>
      <c r="C129" s="105"/>
      <c r="D129" s="283"/>
      <c r="E129" s="311" t="s">
        <v>128</v>
      </c>
      <c r="F129" s="312">
        <f>IFERROR(H131/H133,"N/A")</f>
        <v>8.8838135700328266E-2</v>
      </c>
      <c r="G129" s="100">
        <v>72438.303599999999</v>
      </c>
      <c r="H129" s="100">
        <v>46994.344312500005</v>
      </c>
      <c r="I129" s="71">
        <f>G129-H129</f>
        <v>25443.959287499994</v>
      </c>
      <c r="J129" s="300">
        <f>24350.5</f>
        <v>24350.5</v>
      </c>
      <c r="K129" s="300">
        <f>46994-J129</f>
        <v>22643.5</v>
      </c>
      <c r="L129" s="64">
        <f>SUM(J129:K129)</f>
        <v>46994</v>
      </c>
      <c r="M129" s="12">
        <f>IFERROR(L129/H129,"N/A")</f>
        <v>0.99999267332048059</v>
      </c>
      <c r="N129" s="284">
        <v>60543</v>
      </c>
    </row>
    <row r="130" spans="1:14" ht="13.5" thickBot="1" x14ac:dyDescent="0.25">
      <c r="A130" s="313"/>
      <c r="B130" s="310"/>
      <c r="C130" s="106"/>
      <c r="D130" s="283"/>
      <c r="E130" s="311"/>
      <c r="F130" s="312"/>
      <c r="G130" s="100">
        <v>0</v>
      </c>
      <c r="H130" s="100">
        <v>0</v>
      </c>
      <c r="I130" s="71">
        <f t="shared" ref="I130" si="66">G130-H130</f>
        <v>0</v>
      </c>
      <c r="J130" s="300">
        <v>0</v>
      </c>
      <c r="K130" s="300">
        <v>0</v>
      </c>
      <c r="L130" s="71">
        <f>SUM(J130:K130)</f>
        <v>0</v>
      </c>
      <c r="M130" s="17" t="str">
        <f>IFERROR(L130/H130,"N/A")</f>
        <v>N/A</v>
      </c>
      <c r="N130" s="314">
        <v>0</v>
      </c>
    </row>
    <row r="131" spans="1:14" ht="13.5" thickBot="1" x14ac:dyDescent="0.25">
      <c r="A131" s="228"/>
      <c r="B131" s="229"/>
      <c r="C131" s="292" t="s">
        <v>129</v>
      </c>
      <c r="D131" s="293"/>
      <c r="E131" s="293"/>
      <c r="F131" s="315"/>
      <c r="G131" s="72">
        <f>SUM(G129:G130)</f>
        <v>72438.303599999999</v>
      </c>
      <c r="H131" s="72">
        <f>SUM(H129:H130)</f>
        <v>46994.344312500005</v>
      </c>
      <c r="I131" s="72">
        <f>SUM(I129:I130)</f>
        <v>25443.959287499994</v>
      </c>
      <c r="J131" s="72">
        <f t="shared" ref="J131:L131" si="67">SUM(J129:J130)</f>
        <v>24350.5</v>
      </c>
      <c r="K131" s="72">
        <f t="shared" si="67"/>
        <v>22643.5</v>
      </c>
      <c r="L131" s="72">
        <f t="shared" si="67"/>
        <v>46994</v>
      </c>
      <c r="M131" s="63">
        <f>IFERROR(L131/H131,"N/A")</f>
        <v>0.99999267332048059</v>
      </c>
      <c r="N131" s="73">
        <f>SUM(N129:N130)</f>
        <v>60543</v>
      </c>
    </row>
    <row r="132" spans="1:14" ht="13.5" thickBot="1" x14ac:dyDescent="0.25"/>
    <row r="133" spans="1:14" ht="15.75" thickBot="1" x14ac:dyDescent="0.3">
      <c r="A133" s="316"/>
      <c r="B133" s="317"/>
      <c r="C133" s="318" t="s">
        <v>130</v>
      </c>
      <c r="D133" s="317"/>
      <c r="E133" s="317"/>
      <c r="F133" s="319"/>
      <c r="G133" s="74">
        <f t="shared" ref="G133:L133" si="68">SUM(G131,G122,G114,G106,G85,G71,G59)</f>
        <v>804925.26359999995</v>
      </c>
      <c r="H133" s="74">
        <f t="shared" si="68"/>
        <v>528988.41181249998</v>
      </c>
      <c r="I133" s="74">
        <f t="shared" si="68"/>
        <v>275936.85178749997</v>
      </c>
      <c r="J133" s="74">
        <f t="shared" si="68"/>
        <v>306487.05</v>
      </c>
      <c r="K133" s="74">
        <f t="shared" si="68"/>
        <v>222501.24</v>
      </c>
      <c r="L133" s="74">
        <f t="shared" si="68"/>
        <v>528988.29</v>
      </c>
      <c r="M133" s="2">
        <f>IFERROR(L133/H133,"N/A")</f>
        <v>0.99999976972557958</v>
      </c>
      <c r="N133" s="75">
        <f>SUM(N131,N122,N114,N106,N85,N71,N59)</f>
        <v>816142</v>
      </c>
    </row>
    <row r="134" spans="1:14" ht="13.5" thickBot="1" x14ac:dyDescent="0.25">
      <c r="A134" s="126"/>
      <c r="F134" s="31"/>
    </row>
    <row r="135" spans="1:14" x14ac:dyDescent="0.2">
      <c r="A135" s="326" t="s">
        <v>131</v>
      </c>
      <c r="B135" s="327"/>
      <c r="C135" s="327"/>
      <c r="D135" s="327"/>
      <c r="E135" s="327"/>
      <c r="F135" s="327"/>
      <c r="G135" s="327"/>
      <c r="H135" s="327"/>
      <c r="I135" s="327"/>
      <c r="J135" s="327"/>
      <c r="K135" s="327"/>
      <c r="L135" s="327"/>
      <c r="M135" s="327"/>
      <c r="N135" s="328"/>
    </row>
    <row r="136" spans="1:14" ht="13.5" thickBot="1" x14ac:dyDescent="0.25">
      <c r="A136" s="329"/>
      <c r="B136" s="330"/>
      <c r="C136" s="330"/>
      <c r="D136" s="330"/>
      <c r="E136" s="330"/>
      <c r="F136" s="330"/>
      <c r="G136" s="330"/>
      <c r="H136" s="330"/>
      <c r="I136" s="330"/>
      <c r="J136" s="330"/>
      <c r="K136" s="330"/>
      <c r="L136" s="330"/>
      <c r="M136" s="330"/>
      <c r="N136" s="331"/>
    </row>
  </sheetData>
  <sheetProtection algorithmName="SHA-512" hashValue="VnXhUFCJILt85g6+Wppo7Z0bO9dSpXFrKFi5Tj/75gI4IZzXubEI4dfaEXiK6wSaWYqeDWyTBy20zYgqb7wsfg==" saltValue="JGB9w86aKnURzQfzQA5HOg==" spinCount="100000" sheet="1" objects="1" scenarios="1"/>
  <mergeCells count="8">
    <mergeCell ref="A15:N15"/>
    <mergeCell ref="A135:N136"/>
    <mergeCell ref="A5:N5"/>
    <mergeCell ref="A6:N6"/>
    <mergeCell ref="A10:N10"/>
    <mergeCell ref="A13:N13"/>
    <mergeCell ref="A14:N14"/>
    <mergeCell ref="A11:N11"/>
  </mergeCells>
  <dataValidations count="6">
    <dataValidation type="list" allowBlank="1" showInputMessage="1" showErrorMessage="1" sqref="C58"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29:F130" xr:uid="{4496E346-E54B-4131-8896-07DE0B6BE27F}">
      <formula1>0</formula1>
      <formula2>0.15</formula2>
    </dataValidation>
    <dataValidation type="list" allowBlank="1" showInputMessage="1" showErrorMessage="1" sqref="C48:C57"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58"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activeCell="D9" sqref="D9"/>
    </sheetView>
  </sheetViews>
  <sheetFormatPr defaultColWidth="8.85546875" defaultRowHeight="12.75" x14ac:dyDescent="0.2"/>
  <cols>
    <col min="1" max="1" width="53.7109375" style="208" customWidth="1"/>
    <col min="2" max="8" width="19.7109375" style="209" customWidth="1"/>
    <col min="9" max="11" width="17.28515625" style="175" customWidth="1"/>
    <col min="12" max="12" width="17.140625" style="176" customWidth="1"/>
    <col min="13" max="13" width="14.5703125" style="176" bestFit="1" customWidth="1"/>
    <col min="14" max="14" width="16.85546875" style="176" bestFit="1" customWidth="1"/>
    <col min="15" max="16384" width="8.85546875" style="176"/>
  </cols>
  <sheetData>
    <row r="1" spans="1:11" ht="18" x14ac:dyDescent="0.2">
      <c r="A1" s="113" t="s">
        <v>14</v>
      </c>
      <c r="B1" s="173"/>
      <c r="C1" s="174"/>
      <c r="D1" s="114"/>
      <c r="E1" s="114"/>
      <c r="F1" s="114"/>
      <c r="G1" s="114"/>
      <c r="H1" s="114"/>
    </row>
    <row r="2" spans="1:11" ht="18" x14ac:dyDescent="0.2">
      <c r="A2" s="113" t="s">
        <v>132</v>
      </c>
      <c r="B2" s="117"/>
      <c r="C2" s="117"/>
      <c r="D2" s="118"/>
      <c r="E2" s="118"/>
      <c r="F2" s="118"/>
      <c r="G2" s="118"/>
      <c r="H2" s="118"/>
      <c r="I2" s="117"/>
      <c r="J2" s="117"/>
      <c r="K2" s="117"/>
    </row>
    <row r="3" spans="1:11" ht="18" x14ac:dyDescent="0.2">
      <c r="A3" s="113"/>
      <c r="B3" s="117"/>
      <c r="C3" s="117"/>
      <c r="D3" s="118"/>
      <c r="E3" s="118"/>
      <c r="F3" s="118"/>
      <c r="G3" s="118"/>
      <c r="H3" s="118"/>
      <c r="I3" s="117"/>
      <c r="J3" s="117"/>
      <c r="K3" s="117"/>
    </row>
    <row r="4" spans="1:11" ht="18" x14ac:dyDescent="0.2">
      <c r="A4" s="177" t="s">
        <v>133</v>
      </c>
      <c r="B4" s="117"/>
      <c r="C4" s="117"/>
      <c r="D4" s="118"/>
      <c r="E4" s="118"/>
      <c r="F4" s="118"/>
      <c r="G4" s="118"/>
      <c r="H4" s="118"/>
      <c r="I4" s="117"/>
      <c r="J4" s="117"/>
      <c r="K4" s="117"/>
    </row>
    <row r="5" spans="1:11" ht="14.25" customHeight="1" x14ac:dyDescent="0.2">
      <c r="A5" s="178" t="s">
        <v>134</v>
      </c>
      <c r="B5" s="179"/>
      <c r="C5" s="179"/>
      <c r="D5" s="179"/>
      <c r="E5" s="179"/>
      <c r="F5" s="179"/>
      <c r="G5" s="180"/>
      <c r="H5" s="179"/>
      <c r="I5" s="179"/>
      <c r="J5" s="179"/>
    </row>
    <row r="6" spans="1:11" ht="14.25" customHeight="1" x14ac:dyDescent="0.2">
      <c r="A6" s="178" t="s">
        <v>135</v>
      </c>
      <c r="B6" s="179"/>
      <c r="C6" s="179"/>
      <c r="D6" s="179"/>
      <c r="E6" s="179"/>
      <c r="F6" s="179"/>
      <c r="G6" s="180"/>
      <c r="H6" s="179"/>
      <c r="I6" s="179"/>
      <c r="J6" s="179"/>
    </row>
    <row r="7" spans="1:11" ht="14.25" customHeight="1" x14ac:dyDescent="0.2">
      <c r="A7" s="181"/>
      <c r="B7" s="179"/>
      <c r="C7" s="179"/>
      <c r="D7" s="179"/>
      <c r="E7" s="179"/>
      <c r="F7" s="179"/>
      <c r="G7" s="180"/>
      <c r="H7" s="179"/>
      <c r="I7" s="179"/>
      <c r="J7" s="179"/>
    </row>
    <row r="8" spans="1:11" s="178" customFormat="1" ht="30" x14ac:dyDescent="0.2">
      <c r="A8" s="182" t="s">
        <v>136</v>
      </c>
      <c r="B8" s="183" t="s">
        <v>137</v>
      </c>
      <c r="C8" s="183" t="s">
        <v>138</v>
      </c>
      <c r="D8" s="183" t="s">
        <v>139</v>
      </c>
      <c r="E8" s="181"/>
      <c r="F8" s="181"/>
      <c r="H8" s="181"/>
      <c r="J8" s="181"/>
      <c r="K8" s="181"/>
    </row>
    <row r="9" spans="1:11" s="178" customFormat="1" ht="14.25" x14ac:dyDescent="0.2">
      <c r="A9" s="184" t="s">
        <v>140</v>
      </c>
      <c r="B9" s="185">
        <v>900</v>
      </c>
      <c r="C9" s="186">
        <v>890</v>
      </c>
      <c r="D9" s="187">
        <v>1031</v>
      </c>
      <c r="E9" s="181"/>
      <c r="F9" s="181"/>
      <c r="G9" s="181"/>
      <c r="H9" s="181"/>
      <c r="J9" s="181"/>
      <c r="K9" s="181"/>
    </row>
    <row r="10" spans="1:11" s="178" customFormat="1" ht="14.25" x14ac:dyDescent="0.2">
      <c r="A10" s="184" t="s">
        <v>141</v>
      </c>
      <c r="B10" s="185">
        <v>850</v>
      </c>
      <c r="C10" s="186">
        <v>890</v>
      </c>
      <c r="D10" s="188">
        <v>1031</v>
      </c>
      <c r="E10" s="181"/>
      <c r="F10" s="181"/>
      <c r="G10" s="181"/>
      <c r="H10" s="181"/>
      <c r="J10" s="181"/>
      <c r="K10" s="181"/>
    </row>
    <row r="11" spans="1:11" s="178" customFormat="1" ht="14.25" x14ac:dyDescent="0.2">
      <c r="A11" s="184" t="s">
        <v>142</v>
      </c>
      <c r="B11" s="181"/>
      <c r="C11" s="186">
        <v>247</v>
      </c>
      <c r="D11" s="188">
        <v>289</v>
      </c>
      <c r="E11" s="181"/>
      <c r="F11" s="181"/>
      <c r="G11" s="181"/>
      <c r="H11" s="181"/>
      <c r="J11" s="181"/>
      <c r="K11" s="181"/>
    </row>
    <row r="12" spans="1:11" s="178" customFormat="1" ht="14.25" x14ac:dyDescent="0.2">
      <c r="A12" s="184" t="s">
        <v>143</v>
      </c>
      <c r="B12" s="181"/>
      <c r="C12" s="186">
        <v>0</v>
      </c>
      <c r="D12" s="188">
        <v>0</v>
      </c>
      <c r="E12" s="181"/>
      <c r="F12" s="181"/>
      <c r="G12" s="181"/>
      <c r="H12" s="181"/>
      <c r="J12" s="181"/>
      <c r="K12" s="181"/>
    </row>
    <row r="13" spans="1:11" s="178" customFormat="1" ht="14.25" x14ac:dyDescent="0.2">
      <c r="A13" s="184" t="s">
        <v>144</v>
      </c>
      <c r="B13" s="181"/>
      <c r="C13" s="186">
        <v>107</v>
      </c>
      <c r="D13" s="188">
        <v>123</v>
      </c>
      <c r="E13" s="181"/>
      <c r="F13" s="181"/>
      <c r="G13" s="181"/>
      <c r="H13" s="181"/>
      <c r="J13" s="181"/>
      <c r="K13" s="181"/>
    </row>
    <row r="14" spans="1:11" s="178" customFormat="1" ht="14.25" x14ac:dyDescent="0.2">
      <c r="A14" s="184" t="s">
        <v>145</v>
      </c>
      <c r="B14" s="181"/>
      <c r="C14" s="186">
        <v>44</v>
      </c>
      <c r="D14" s="188">
        <v>48</v>
      </c>
      <c r="E14" s="181"/>
      <c r="F14" s="181"/>
      <c r="G14" s="181"/>
      <c r="H14" s="181"/>
      <c r="J14" s="181"/>
      <c r="K14" s="181"/>
    </row>
    <row r="15" spans="1:11" s="178" customFormat="1" ht="14.25" x14ac:dyDescent="0.2">
      <c r="A15" s="184" t="s">
        <v>146</v>
      </c>
      <c r="B15" s="181"/>
      <c r="C15" s="186">
        <v>102</v>
      </c>
      <c r="D15" s="188">
        <v>110</v>
      </c>
      <c r="E15" s="181"/>
      <c r="F15" s="181"/>
      <c r="G15" s="181"/>
      <c r="H15" s="181"/>
      <c r="J15" s="181"/>
      <c r="K15" s="181"/>
    </row>
    <row r="16" spans="1:11" s="178" customFormat="1" ht="14.25" x14ac:dyDescent="0.2">
      <c r="A16" s="189"/>
      <c r="B16" s="190"/>
      <c r="C16" s="190"/>
      <c r="D16" s="190"/>
      <c r="F16" s="181"/>
      <c r="G16" s="181"/>
      <c r="H16" s="190"/>
      <c r="I16" s="190"/>
    </row>
    <row r="17" spans="1:11" s="178" customFormat="1" ht="14.25" x14ac:dyDescent="0.2">
      <c r="A17" s="189"/>
      <c r="B17" s="190"/>
      <c r="C17" s="190"/>
      <c r="D17" s="190"/>
      <c r="F17" s="181"/>
      <c r="G17" s="181"/>
      <c r="H17" s="190"/>
      <c r="I17" s="190"/>
    </row>
    <row r="18" spans="1:11" s="178" customFormat="1" ht="16.5" customHeight="1" x14ac:dyDescent="0.2">
      <c r="A18" s="350" t="s">
        <v>147</v>
      </c>
      <c r="B18" s="343" t="s">
        <v>138</v>
      </c>
      <c r="C18" s="344"/>
      <c r="D18" s="345"/>
      <c r="E18" s="343" t="s">
        <v>139</v>
      </c>
      <c r="F18" s="344"/>
      <c r="G18" s="345"/>
    </row>
    <row r="19" spans="1:11" s="178" customFormat="1" ht="45" x14ac:dyDescent="0.2">
      <c r="A19" s="350"/>
      <c r="B19" s="183" t="s">
        <v>148</v>
      </c>
      <c r="C19" s="183" t="s">
        <v>149</v>
      </c>
      <c r="D19" s="183" t="s">
        <v>150</v>
      </c>
      <c r="E19" s="183" t="s">
        <v>148</v>
      </c>
      <c r="F19" s="183" t="s">
        <v>149</v>
      </c>
      <c r="G19" s="183" t="s">
        <v>150</v>
      </c>
      <c r="H19" s="181"/>
    </row>
    <row r="20" spans="1:11" s="178" customFormat="1" ht="14.25" x14ac:dyDescent="0.2">
      <c r="A20" s="184" t="s">
        <v>151</v>
      </c>
      <c r="B20" s="186"/>
      <c r="C20" s="186">
        <v>1</v>
      </c>
      <c r="D20" s="186"/>
      <c r="E20" s="187">
        <v>0</v>
      </c>
      <c r="F20" s="191">
        <v>1</v>
      </c>
      <c r="G20" s="191" t="s">
        <v>152</v>
      </c>
      <c r="H20" s="181"/>
    </row>
    <row r="21" spans="1:11" s="178" customFormat="1" ht="14.25" x14ac:dyDescent="0.2">
      <c r="A21" s="184" t="s">
        <v>153</v>
      </c>
      <c r="B21" s="186"/>
      <c r="C21" s="186">
        <v>67</v>
      </c>
      <c r="D21" s="186"/>
      <c r="E21" s="188">
        <v>0</v>
      </c>
      <c r="F21" s="192">
        <v>77</v>
      </c>
      <c r="G21" s="192" t="s">
        <v>152</v>
      </c>
      <c r="H21" s="181"/>
    </row>
    <row r="22" spans="1:11" s="178" customFormat="1" ht="14.25" x14ac:dyDescent="0.2">
      <c r="A22" s="184" t="s">
        <v>154</v>
      </c>
      <c r="B22" s="186"/>
      <c r="C22" s="186">
        <v>52</v>
      </c>
      <c r="D22" s="186"/>
      <c r="E22" s="188">
        <v>0</v>
      </c>
      <c r="F22" s="192">
        <v>55</v>
      </c>
      <c r="G22" s="192" t="s">
        <v>152</v>
      </c>
      <c r="H22" s="181"/>
    </row>
    <row r="23" spans="1:11" s="178" customFormat="1" ht="14.25" x14ac:dyDescent="0.2">
      <c r="A23" s="184" t="s">
        <v>155</v>
      </c>
      <c r="B23" s="186"/>
      <c r="C23" s="186">
        <v>3</v>
      </c>
      <c r="D23" s="186"/>
      <c r="E23" s="188">
        <v>0</v>
      </c>
      <c r="F23" s="192">
        <v>4</v>
      </c>
      <c r="G23" s="192" t="s">
        <v>152</v>
      </c>
      <c r="H23" s="181"/>
    </row>
    <row r="24" spans="1:11" s="178" customFormat="1" ht="14.25" x14ac:dyDescent="0.2">
      <c r="A24" s="184" t="s">
        <v>156</v>
      </c>
      <c r="B24" s="186"/>
      <c r="C24" s="186">
        <v>463</v>
      </c>
      <c r="D24" s="186"/>
      <c r="E24" s="188">
        <v>0</v>
      </c>
      <c r="F24" s="192">
        <v>582</v>
      </c>
      <c r="G24" s="192" t="s">
        <v>152</v>
      </c>
      <c r="H24" s="181"/>
    </row>
    <row r="25" spans="1:11" s="178" customFormat="1" ht="14.25" x14ac:dyDescent="0.2">
      <c r="A25" s="184" t="s">
        <v>157</v>
      </c>
      <c r="B25" s="186"/>
      <c r="C25" s="186">
        <v>6</v>
      </c>
      <c r="D25" s="186"/>
      <c r="E25" s="188">
        <v>0</v>
      </c>
      <c r="F25" s="192">
        <v>7</v>
      </c>
      <c r="G25" s="192" t="s">
        <v>152</v>
      </c>
      <c r="H25" s="181"/>
    </row>
    <row r="26" spans="1:11" s="178" customFormat="1" ht="14.25" x14ac:dyDescent="0.2">
      <c r="A26" s="184" t="s">
        <v>158</v>
      </c>
      <c r="B26" s="186">
        <v>76</v>
      </c>
      <c r="C26" s="186">
        <v>44</v>
      </c>
      <c r="D26" s="186"/>
      <c r="E26" s="188">
        <v>90</v>
      </c>
      <c r="F26" s="192">
        <v>0</v>
      </c>
      <c r="G26" s="192" t="s">
        <v>152</v>
      </c>
      <c r="H26" s="181"/>
    </row>
    <row r="27" spans="1:11" s="178" customFormat="1" ht="14.25" x14ac:dyDescent="0.2">
      <c r="A27" s="184" t="s">
        <v>150</v>
      </c>
      <c r="B27" s="186"/>
      <c r="C27" s="186"/>
      <c r="D27" s="186">
        <v>178</v>
      </c>
      <c r="E27" s="188">
        <v>0</v>
      </c>
      <c r="F27" s="192">
        <v>0</v>
      </c>
      <c r="G27" s="192">
        <v>215</v>
      </c>
      <c r="H27" s="181"/>
    </row>
    <row r="28" spans="1:11" s="178" customFormat="1" ht="15" x14ac:dyDescent="0.2">
      <c r="A28" s="193" t="s">
        <v>141</v>
      </c>
      <c r="B28" s="194">
        <f>SUM(B20:B27)</f>
        <v>76</v>
      </c>
      <c r="C28" s="194">
        <f t="shared" ref="C28:E28" si="0">SUM(C20:C27)</f>
        <v>636</v>
      </c>
      <c r="D28" s="194">
        <f t="shared" si="0"/>
        <v>178</v>
      </c>
      <c r="E28" s="194">
        <f t="shared" si="0"/>
        <v>90</v>
      </c>
      <c r="F28" s="194">
        <f t="shared" ref="F28:G28" si="1">SUM(F20:F27)</f>
        <v>726</v>
      </c>
      <c r="G28" s="194">
        <f t="shared" si="1"/>
        <v>215</v>
      </c>
      <c r="H28" s="181"/>
    </row>
    <row r="29" spans="1:11" s="178" customFormat="1" ht="14.25" x14ac:dyDescent="0.2">
      <c r="B29" s="190"/>
      <c r="C29" s="190"/>
      <c r="D29" s="190"/>
      <c r="E29" s="181"/>
      <c r="F29" s="181"/>
      <c r="G29" s="181"/>
      <c r="H29" s="181"/>
      <c r="J29" s="181"/>
      <c r="K29" s="181"/>
    </row>
    <row r="30" spans="1:11" s="178" customFormat="1" ht="14.25" x14ac:dyDescent="0.2">
      <c r="B30" s="190"/>
      <c r="C30" s="190"/>
      <c r="D30" s="190"/>
      <c r="E30" s="181"/>
      <c r="F30" s="181"/>
      <c r="G30" s="181"/>
      <c r="H30" s="181"/>
      <c r="J30" s="181"/>
      <c r="K30" s="181"/>
    </row>
    <row r="31" spans="1:11" s="178" customFormat="1" ht="35.1" customHeight="1" x14ac:dyDescent="0.2">
      <c r="A31" s="182" t="s">
        <v>159</v>
      </c>
      <c r="B31" s="183" t="s">
        <v>160</v>
      </c>
      <c r="C31" s="183" t="s">
        <v>139</v>
      </c>
      <c r="D31" s="181"/>
      <c r="E31" s="350" t="s">
        <v>161</v>
      </c>
      <c r="F31" s="350"/>
      <c r="G31" s="183" t="s">
        <v>162</v>
      </c>
      <c r="H31" s="183" t="s">
        <v>163</v>
      </c>
      <c r="I31" s="181"/>
      <c r="J31" s="181"/>
    </row>
    <row r="32" spans="1:11" s="178" customFormat="1" ht="14.25" x14ac:dyDescent="0.2">
      <c r="A32" s="184">
        <v>90401</v>
      </c>
      <c r="B32" s="186">
        <v>179</v>
      </c>
      <c r="C32" s="187">
        <v>205</v>
      </c>
      <c r="D32" s="181"/>
      <c r="E32" s="348" t="s">
        <v>164</v>
      </c>
      <c r="F32" s="348"/>
      <c r="G32" s="196"/>
      <c r="H32" s="197">
        <v>0</v>
      </c>
      <c r="I32" s="181"/>
      <c r="J32" s="181"/>
    </row>
    <row r="33" spans="1:11" s="178" customFormat="1" ht="14.25" x14ac:dyDescent="0.2">
      <c r="A33" s="184">
        <v>90402</v>
      </c>
      <c r="B33" s="186">
        <v>43</v>
      </c>
      <c r="C33" s="188">
        <v>52</v>
      </c>
      <c r="D33" s="181"/>
      <c r="E33" s="346" t="s">
        <v>165</v>
      </c>
      <c r="F33" s="346"/>
      <c r="G33" s="199"/>
      <c r="H33" s="200">
        <v>0</v>
      </c>
      <c r="I33" s="181"/>
      <c r="J33" s="181"/>
    </row>
    <row r="34" spans="1:11" s="178" customFormat="1" ht="14.25" x14ac:dyDescent="0.2">
      <c r="A34" s="184">
        <v>90403</v>
      </c>
      <c r="B34" s="186">
        <v>256</v>
      </c>
      <c r="C34" s="188">
        <v>303</v>
      </c>
      <c r="D34" s="181"/>
      <c r="E34" s="346" t="s">
        <v>166</v>
      </c>
      <c r="F34" s="346"/>
      <c r="G34" s="199"/>
      <c r="H34" s="200">
        <v>0</v>
      </c>
      <c r="I34" s="181"/>
      <c r="J34" s="181"/>
    </row>
    <row r="35" spans="1:11" s="178" customFormat="1" ht="14.25" x14ac:dyDescent="0.2">
      <c r="A35" s="184">
        <v>90404</v>
      </c>
      <c r="B35" s="186">
        <v>178</v>
      </c>
      <c r="C35" s="188">
        <v>205</v>
      </c>
      <c r="D35" s="181"/>
      <c r="E35" s="348" t="s">
        <v>167</v>
      </c>
      <c r="F35" s="348"/>
      <c r="G35" s="199"/>
      <c r="H35" s="200">
        <v>0</v>
      </c>
      <c r="I35" s="181"/>
      <c r="J35" s="181"/>
    </row>
    <row r="36" spans="1:11" s="178" customFormat="1" ht="14.25" x14ac:dyDescent="0.2">
      <c r="A36" s="184">
        <v>90405</v>
      </c>
      <c r="B36" s="186">
        <v>234</v>
      </c>
      <c r="C36" s="188">
        <v>266</v>
      </c>
      <c r="D36" s="181"/>
      <c r="E36" s="348" t="s">
        <v>168</v>
      </c>
      <c r="F36" s="348"/>
      <c r="G36" s="199"/>
      <c r="H36" s="200">
        <v>0</v>
      </c>
      <c r="I36" s="181"/>
      <c r="J36" s="181"/>
    </row>
    <row r="37" spans="1:11" s="178" customFormat="1" ht="14.25" x14ac:dyDescent="0.2">
      <c r="A37" s="184" t="s">
        <v>169</v>
      </c>
      <c r="B37" s="186">
        <v>0</v>
      </c>
      <c r="C37" s="188">
        <v>0</v>
      </c>
      <c r="D37" s="181"/>
      <c r="E37" s="348" t="s">
        <v>170</v>
      </c>
      <c r="F37" s="348"/>
      <c r="G37" s="199"/>
      <c r="H37" s="200">
        <v>0</v>
      </c>
      <c r="I37" s="181"/>
      <c r="J37" s="181"/>
    </row>
    <row r="38" spans="1:11" s="178" customFormat="1" ht="15" x14ac:dyDescent="0.2">
      <c r="A38" s="193" t="s">
        <v>141</v>
      </c>
      <c r="B38" s="194">
        <f>SUM(B32:B37)</f>
        <v>890</v>
      </c>
      <c r="C38" s="194">
        <f>SUM(C32:C37)</f>
        <v>1031</v>
      </c>
      <c r="D38" s="190"/>
      <c r="E38" s="348" t="s">
        <v>171</v>
      </c>
      <c r="F38" s="348"/>
      <c r="G38" s="199">
        <v>5</v>
      </c>
      <c r="H38" s="200">
        <v>6</v>
      </c>
      <c r="I38" s="181"/>
      <c r="J38" s="181"/>
    </row>
    <row r="39" spans="1:11" s="178" customFormat="1" ht="14.25" x14ac:dyDescent="0.2">
      <c r="B39" s="181"/>
      <c r="C39" s="190"/>
      <c r="E39" s="348" t="s">
        <v>172</v>
      </c>
      <c r="F39" s="348"/>
      <c r="G39" s="199">
        <v>28</v>
      </c>
      <c r="H39" s="200">
        <v>30</v>
      </c>
      <c r="J39" s="181"/>
      <c r="K39" s="181"/>
    </row>
    <row r="40" spans="1:11" s="178" customFormat="1" ht="14.25" x14ac:dyDescent="0.2">
      <c r="E40" s="348" t="s">
        <v>173</v>
      </c>
      <c r="F40" s="348"/>
      <c r="G40" s="199">
        <v>287</v>
      </c>
      <c r="H40" s="200">
        <v>335</v>
      </c>
    </row>
    <row r="41" spans="1:11" s="178" customFormat="1" ht="14.25" x14ac:dyDescent="0.2">
      <c r="E41" s="348" t="s">
        <v>174</v>
      </c>
      <c r="F41" s="348"/>
      <c r="G41" s="199">
        <v>375</v>
      </c>
      <c r="H41" s="200">
        <v>436</v>
      </c>
    </row>
    <row r="42" spans="1:11" s="178" customFormat="1" ht="14.25" x14ac:dyDescent="0.2">
      <c r="E42" s="348" t="s">
        <v>175</v>
      </c>
      <c r="F42" s="348"/>
      <c r="G42" s="199">
        <v>194</v>
      </c>
      <c r="H42" s="200">
        <v>219</v>
      </c>
    </row>
    <row r="43" spans="1:11" s="178" customFormat="1" ht="14.25" x14ac:dyDescent="0.2">
      <c r="E43" s="351" t="s">
        <v>169</v>
      </c>
      <c r="F43" s="352"/>
      <c r="G43" s="199">
        <v>1</v>
      </c>
      <c r="H43" s="200">
        <v>5</v>
      </c>
    </row>
    <row r="44" spans="1:11" s="178" customFormat="1" ht="15" x14ac:dyDescent="0.2">
      <c r="E44" s="347" t="s">
        <v>141</v>
      </c>
      <c r="F44" s="347"/>
      <c r="G44" s="202">
        <f>SUM(G32:G43)</f>
        <v>890</v>
      </c>
      <c r="H44" s="202">
        <f>SUM(H32:H43)</f>
        <v>1031</v>
      </c>
    </row>
    <row r="45" spans="1:11" s="178" customFormat="1" ht="14.25" x14ac:dyDescent="0.2"/>
    <row r="46" spans="1:11" s="178" customFormat="1" ht="14.25" x14ac:dyDescent="0.2"/>
    <row r="47" spans="1:11" s="178" customFormat="1" ht="42" customHeight="1" x14ac:dyDescent="0.2">
      <c r="A47" s="203" t="s">
        <v>176</v>
      </c>
      <c r="B47" s="204" t="s">
        <v>162</v>
      </c>
      <c r="C47" s="204" t="s">
        <v>139</v>
      </c>
      <c r="E47" s="353" t="s">
        <v>177</v>
      </c>
      <c r="F47" s="353"/>
      <c r="G47" s="204" t="s">
        <v>162</v>
      </c>
      <c r="H47" s="204" t="s">
        <v>139</v>
      </c>
    </row>
    <row r="48" spans="1:11" s="178" customFormat="1" ht="14.25" x14ac:dyDescent="0.2">
      <c r="A48" s="195" t="s">
        <v>178</v>
      </c>
      <c r="B48" s="205">
        <v>235</v>
      </c>
      <c r="C48" s="197">
        <v>263</v>
      </c>
      <c r="E48" s="348" t="s">
        <v>179</v>
      </c>
      <c r="F48" s="348"/>
      <c r="G48" s="205"/>
      <c r="H48" s="205"/>
    </row>
    <row r="49" spans="1:14" s="178" customFormat="1" ht="14.25" x14ac:dyDescent="0.2">
      <c r="A49" s="198" t="s">
        <v>180</v>
      </c>
      <c r="B49" s="206">
        <v>655</v>
      </c>
      <c r="C49" s="200">
        <v>768</v>
      </c>
      <c r="E49" s="346" t="s">
        <v>181</v>
      </c>
      <c r="F49" s="346"/>
      <c r="G49" s="206"/>
      <c r="H49" s="205"/>
    </row>
    <row r="50" spans="1:14" s="178" customFormat="1" ht="14.25" x14ac:dyDescent="0.2">
      <c r="A50" s="198" t="s">
        <v>182</v>
      </c>
      <c r="B50" s="206"/>
      <c r="C50" s="200" t="s">
        <v>152</v>
      </c>
      <c r="E50" s="346" t="s">
        <v>183</v>
      </c>
      <c r="F50" s="346"/>
      <c r="G50" s="206"/>
      <c r="H50" s="205"/>
    </row>
    <row r="51" spans="1:14" s="178" customFormat="1" ht="14.25" x14ac:dyDescent="0.2">
      <c r="A51" s="198" t="s">
        <v>184</v>
      </c>
      <c r="B51" s="206"/>
      <c r="C51" s="200" t="s">
        <v>152</v>
      </c>
      <c r="E51" s="348" t="s">
        <v>185</v>
      </c>
      <c r="F51" s="348"/>
      <c r="G51" s="206"/>
      <c r="H51" s="205"/>
    </row>
    <row r="52" spans="1:14" s="178" customFormat="1" ht="14.25" x14ac:dyDescent="0.2">
      <c r="A52" s="195" t="s">
        <v>186</v>
      </c>
      <c r="B52" s="206"/>
      <c r="C52" s="200" t="s">
        <v>152</v>
      </c>
      <c r="E52" s="348" t="s">
        <v>187</v>
      </c>
      <c r="F52" s="348"/>
      <c r="G52" s="206"/>
      <c r="H52" s="205"/>
    </row>
    <row r="53" spans="1:14" s="178" customFormat="1" ht="14.25" x14ac:dyDescent="0.2">
      <c r="A53" s="195" t="s">
        <v>188</v>
      </c>
      <c r="B53" s="206"/>
      <c r="C53" s="200" t="s">
        <v>152</v>
      </c>
      <c r="E53" s="348" t="s">
        <v>189</v>
      </c>
      <c r="F53" s="348"/>
      <c r="G53" s="206"/>
      <c r="H53" s="205"/>
    </row>
    <row r="54" spans="1:14" s="178" customFormat="1" ht="15" x14ac:dyDescent="0.2">
      <c r="A54" s="195" t="s">
        <v>190</v>
      </c>
      <c r="B54" s="206"/>
      <c r="C54" s="200" t="s">
        <v>152</v>
      </c>
      <c r="E54" s="347" t="s">
        <v>191</v>
      </c>
      <c r="F54" s="347"/>
      <c r="G54" s="206">
        <v>890</v>
      </c>
      <c r="H54" s="205">
        <v>1031</v>
      </c>
    </row>
    <row r="55" spans="1:14" ht="15" x14ac:dyDescent="0.2">
      <c r="A55" s="195" t="s">
        <v>189</v>
      </c>
      <c r="B55" s="206"/>
      <c r="C55" s="200" t="s">
        <v>152</v>
      </c>
      <c r="D55" s="176"/>
      <c r="E55" s="349" t="s">
        <v>141</v>
      </c>
      <c r="F55" s="349"/>
      <c r="G55" s="202">
        <f>SUM(G48:G54)</f>
        <v>890</v>
      </c>
      <c r="H55" s="202">
        <f>SUM(H48:H54)</f>
        <v>1031</v>
      </c>
      <c r="I55" s="176"/>
      <c r="J55" s="176"/>
      <c r="K55" s="176"/>
    </row>
    <row r="56" spans="1:14" ht="15" x14ac:dyDescent="0.2">
      <c r="A56" s="201" t="s">
        <v>191</v>
      </c>
      <c r="B56" s="207"/>
      <c r="C56" s="200" t="s">
        <v>152</v>
      </c>
      <c r="D56" s="176"/>
      <c r="E56" s="176"/>
      <c r="F56" s="176"/>
      <c r="G56" s="176"/>
      <c r="H56" s="176"/>
      <c r="I56" s="176"/>
      <c r="J56" s="176"/>
      <c r="K56" s="176"/>
    </row>
    <row r="57" spans="1:14" ht="15" x14ac:dyDescent="0.2">
      <c r="A57" s="193" t="s">
        <v>141</v>
      </c>
      <c r="B57" s="202">
        <f>SUM(B48:B56)</f>
        <v>890</v>
      </c>
      <c r="C57" s="202">
        <f>SUM(C48:C56)</f>
        <v>1031</v>
      </c>
      <c r="D57" s="176"/>
      <c r="E57" s="176"/>
      <c r="F57" s="176"/>
      <c r="G57" s="176"/>
      <c r="H57" s="176"/>
      <c r="I57" s="176"/>
      <c r="J57" s="176"/>
      <c r="K57" s="176"/>
    </row>
    <row r="58" spans="1:14" s="175" customFormat="1" x14ac:dyDescent="0.2">
      <c r="A58" s="208"/>
      <c r="B58" s="209"/>
      <c r="D58" s="209"/>
      <c r="E58" s="176"/>
      <c r="F58" s="176"/>
      <c r="G58" s="176"/>
      <c r="H58" s="176"/>
      <c r="L58" s="176"/>
      <c r="M58" s="176"/>
      <c r="N58" s="176"/>
    </row>
    <row r="59" spans="1:14" s="175" customFormat="1" x14ac:dyDescent="0.2">
      <c r="A59" s="208"/>
      <c r="B59" s="209"/>
      <c r="D59" s="209"/>
      <c r="E59" s="209"/>
      <c r="F59" s="209"/>
      <c r="G59" s="209"/>
      <c r="H59" s="209"/>
      <c r="L59" s="176"/>
      <c r="M59" s="176"/>
      <c r="N59" s="176"/>
    </row>
    <row r="60" spans="1:14" s="178" customFormat="1" ht="30" customHeight="1" x14ac:dyDescent="0.2">
      <c r="A60" s="208"/>
      <c r="B60" s="209"/>
      <c r="C60" s="209"/>
    </row>
    <row r="61" spans="1:14" s="178" customFormat="1" ht="14.25" x14ac:dyDescent="0.2">
      <c r="A61" s="208"/>
      <c r="B61" s="209"/>
      <c r="C61" s="175"/>
    </row>
    <row r="62" spans="1:14" s="178" customFormat="1" ht="14.25" x14ac:dyDescent="0.2"/>
    <row r="63" spans="1:14" s="178" customFormat="1" ht="14.25" x14ac:dyDescent="0.2"/>
    <row r="64" spans="1:14" s="178" customFormat="1" ht="14.25" x14ac:dyDescent="0.2"/>
    <row r="65" spans="1:11" s="178" customFormat="1" ht="14.25" x14ac:dyDescent="0.2"/>
    <row r="66" spans="1:11" s="178" customFormat="1" ht="14.25" x14ac:dyDescent="0.2">
      <c r="I66" s="176"/>
    </row>
    <row r="67" spans="1:11" ht="14.25" x14ac:dyDescent="0.2">
      <c r="A67" s="178"/>
      <c r="B67" s="178"/>
      <c r="C67" s="178"/>
      <c r="D67" s="176"/>
      <c r="E67" s="176"/>
      <c r="F67" s="176"/>
      <c r="G67" s="176"/>
      <c r="H67" s="176"/>
      <c r="J67" s="176"/>
      <c r="K67" s="176"/>
    </row>
    <row r="68" spans="1:11" ht="14.25" x14ac:dyDescent="0.2">
      <c r="A68" s="178"/>
      <c r="B68" s="178"/>
      <c r="C68" s="178"/>
    </row>
    <row r="69" spans="1:11" x14ac:dyDescent="0.2">
      <c r="A69" s="176"/>
      <c r="B69" s="176"/>
      <c r="C69" s="176"/>
    </row>
  </sheetData>
  <sheetProtection algorithmName="SHA-512" hashValue="77lW6GAOp7FMILDoDuCAwhFyqT9zhUHROYtz0mrMmV6ZEW/Z6YrgAyr+7sXUf+vgFhxdFMCzcP2jE/TQ7bdT/Q==" saltValue="81xsu0tBkMSGlNL/v8VBbg==" spinCount="100000" sheet="1" objects="1" scenarios="1"/>
  <mergeCells count="2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 ref="B18:D18"/>
    <mergeCell ref="E34:F34"/>
    <mergeCell ref="E44:F44"/>
    <mergeCell ref="E42:F42"/>
    <mergeCell ref="E41:F41"/>
    <mergeCell ref="E40:F40"/>
    <mergeCell ref="E39:F39"/>
    <mergeCell ref="E38:F38"/>
    <mergeCell ref="E37:F37"/>
    <mergeCell ref="E36:F3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K11" sqref="K11"/>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243</v>
      </c>
      <c r="C2" s="32"/>
      <c r="D2" s="32"/>
      <c r="E2" s="32"/>
      <c r="F2" s="32"/>
      <c r="G2" s="32"/>
    </row>
    <row r="3" spans="1:7" ht="36" customHeight="1" x14ac:dyDescent="0.2">
      <c r="A3" s="98"/>
      <c r="B3" s="356" t="s">
        <v>244</v>
      </c>
      <c r="C3" s="357"/>
      <c r="D3" s="357"/>
      <c r="E3" s="357"/>
      <c r="F3" s="358"/>
      <c r="G3" s="32"/>
    </row>
    <row r="4" spans="1:7" ht="18" x14ac:dyDescent="0.25">
      <c r="A4" s="16"/>
      <c r="B4" s="23"/>
      <c r="C4" s="32"/>
      <c r="D4" s="32"/>
      <c r="E4" s="32"/>
      <c r="F4" s="32"/>
      <c r="G4" s="32"/>
    </row>
    <row r="5" spans="1:7" ht="22.5" customHeight="1" x14ac:dyDescent="0.25">
      <c r="A5" s="16"/>
      <c r="B5" s="77" t="str">
        <f>'FISCAL REPORT'!B19</f>
        <v>WISE &amp; Healthy Aging</v>
      </c>
      <c r="C5" s="77"/>
      <c r="D5" s="78"/>
      <c r="E5" s="78"/>
      <c r="F5" s="78"/>
      <c r="G5" s="32"/>
    </row>
    <row r="6" spans="1:7" ht="22.5" customHeight="1" x14ac:dyDescent="0.25">
      <c r="A6" s="16"/>
      <c r="B6" s="77" t="str">
        <f>'FISCAL REPORT'!B20</f>
        <v>Club WISE + WISE Diner (Member Services)</v>
      </c>
      <c r="C6" s="79"/>
      <c r="D6" s="80"/>
      <c r="E6" s="80"/>
      <c r="F6" s="80"/>
      <c r="G6" s="32"/>
    </row>
    <row r="7" spans="1:7" ht="8.25" customHeight="1" thickBot="1" x14ac:dyDescent="0.25">
      <c r="A7" s="16"/>
      <c r="B7" s="24"/>
      <c r="C7" s="32"/>
      <c r="D7" s="32"/>
      <c r="E7" s="32"/>
      <c r="F7" s="32"/>
      <c r="G7" s="32"/>
    </row>
    <row r="8" spans="1:7" ht="52.5" customHeight="1" x14ac:dyDescent="0.55000000000000004">
      <c r="B8" s="34" t="s">
        <v>245</v>
      </c>
      <c r="C8" s="35" t="s">
        <v>246</v>
      </c>
      <c r="D8" s="35"/>
      <c r="E8" s="35" t="s">
        <v>247</v>
      </c>
      <c r="F8" s="36"/>
      <c r="G8" s="32"/>
    </row>
    <row r="9" spans="1:7" ht="14.25" x14ac:dyDescent="0.2">
      <c r="B9" s="37" t="s">
        <v>248</v>
      </c>
      <c r="C9" s="97">
        <f>'PARTICIPANT DEMOGRAPHICS'!B9</f>
        <v>900</v>
      </c>
      <c r="D9" s="97"/>
      <c r="E9" s="97">
        <f>'PARTICIPANT DEMOGRAPHICS'!D9</f>
        <v>1031</v>
      </c>
      <c r="F9" s="40"/>
      <c r="G9" s="32"/>
    </row>
    <row r="10" spans="1:7" ht="14.25" x14ac:dyDescent="0.2">
      <c r="B10" s="41" t="s">
        <v>249</v>
      </c>
      <c r="C10" s="97">
        <f>'PARTICIPANT DEMOGRAPHICS'!B10</f>
        <v>850</v>
      </c>
      <c r="D10" s="39"/>
      <c r="E10" s="97">
        <f>'PARTICIPANT DEMOGRAPHICS'!D10</f>
        <v>1031</v>
      </c>
      <c r="F10" s="40"/>
      <c r="G10" s="32"/>
    </row>
    <row r="11" spans="1:7" ht="14.25" x14ac:dyDescent="0.2">
      <c r="B11" s="37" t="s">
        <v>250</v>
      </c>
      <c r="C11" s="57">
        <f>IFERROR(C10/C9, "N/A")</f>
        <v>0.94444444444444442</v>
      </c>
      <c r="D11" s="43"/>
      <c r="E11" s="86">
        <f>IFERROR(E10/E9, "N/A")</f>
        <v>1</v>
      </c>
      <c r="F11" s="40"/>
      <c r="G11" s="32"/>
    </row>
    <row r="12" spans="1:7" ht="14.25" x14ac:dyDescent="0.2">
      <c r="B12" s="37"/>
      <c r="C12" s="42"/>
      <c r="D12" s="43"/>
      <c r="E12" s="38"/>
      <c r="F12" s="40"/>
      <c r="G12" s="32"/>
    </row>
    <row r="13" spans="1:7" ht="63.75" customHeight="1" x14ac:dyDescent="0.55000000000000004">
      <c r="B13" s="44" t="s">
        <v>251</v>
      </c>
      <c r="C13" s="108" t="s">
        <v>252</v>
      </c>
      <c r="D13" s="108" t="s">
        <v>253</v>
      </c>
      <c r="E13" s="108" t="s">
        <v>254</v>
      </c>
      <c r="F13" s="109" t="s">
        <v>255</v>
      </c>
      <c r="G13" s="32"/>
    </row>
    <row r="14" spans="1:7" ht="16.5" customHeight="1" x14ac:dyDescent="0.2">
      <c r="B14" s="37" t="s">
        <v>256</v>
      </c>
      <c r="C14" s="81">
        <f>'FISCAL REPORT'!G26</f>
        <v>804925.26359999995</v>
      </c>
      <c r="D14" s="81">
        <f>'FISCAL REPORT'!H26</f>
        <v>528988.41181249998</v>
      </c>
      <c r="E14" s="81">
        <f>'FISCAL REPORT'!N26</f>
        <v>816142</v>
      </c>
      <c r="F14" s="82">
        <f>'FISCAL REPORT'!L26</f>
        <v>528988.29</v>
      </c>
      <c r="G14" s="32"/>
    </row>
    <row r="15" spans="1:7" ht="16.5" customHeight="1" x14ac:dyDescent="0.2">
      <c r="B15" s="37"/>
      <c r="C15" s="45"/>
      <c r="D15" s="45"/>
      <c r="E15" s="45"/>
      <c r="F15" s="46"/>
      <c r="G15" s="32"/>
    </row>
    <row r="16" spans="1:7" ht="19.5" x14ac:dyDescent="0.55000000000000004">
      <c r="B16" s="44" t="s">
        <v>257</v>
      </c>
      <c r="C16" s="354" t="s">
        <v>258</v>
      </c>
      <c r="D16" s="354"/>
      <c r="E16" s="354" t="s">
        <v>259</v>
      </c>
      <c r="F16" s="355"/>
      <c r="G16" s="32"/>
    </row>
    <row r="17" spans="2:8" ht="14.25" x14ac:dyDescent="0.2">
      <c r="B17" s="37" t="s">
        <v>260</v>
      </c>
      <c r="C17" s="83">
        <f>IFERROR(C14*C11,"N/A")</f>
        <v>760207.19339999987</v>
      </c>
      <c r="D17" s="47">
        <f>IFERROR(C17/C14,"N/A")</f>
        <v>0.94444444444444431</v>
      </c>
      <c r="E17" s="84">
        <f>IFERROR(E14*E11,"N/A")</f>
        <v>816142</v>
      </c>
      <c r="F17" s="49">
        <f>IFERROR(E17/E14,"N/A")</f>
        <v>1</v>
      </c>
      <c r="G17" s="32"/>
    </row>
    <row r="18" spans="2:8" ht="14.25" x14ac:dyDescent="0.2">
      <c r="B18" s="37" t="s">
        <v>261</v>
      </c>
      <c r="C18" s="83">
        <f>D14</f>
        <v>528988.41181249998</v>
      </c>
      <c r="D18" s="47">
        <f>IFERROR(C18/C17, "N/A")</f>
        <v>0.69584767995501062</v>
      </c>
      <c r="E18" s="84">
        <f>F14</f>
        <v>528988.29</v>
      </c>
      <c r="F18" s="49">
        <f>IFERROR(E18/E17, "N/A")</f>
        <v>0.64815717117854499</v>
      </c>
      <c r="G18" s="32"/>
      <c r="H18" s="33"/>
    </row>
    <row r="19" spans="2:8" ht="15" thickBot="1" x14ac:dyDescent="0.25">
      <c r="B19" s="37"/>
      <c r="C19" s="25"/>
      <c r="D19" s="47"/>
      <c r="E19" s="48"/>
      <c r="F19" s="49"/>
      <c r="G19" s="32"/>
    </row>
    <row r="20" spans="2:8" ht="15.75" thickBot="1" x14ac:dyDescent="0.3">
      <c r="B20" s="50" t="s">
        <v>262</v>
      </c>
      <c r="C20" s="85">
        <f>IFERROR(C17-C18,"N/A")</f>
        <v>231218.78158749989</v>
      </c>
      <c r="D20" s="51">
        <f>IFERROR(C20/C17, "N/A")</f>
        <v>0.30415232004498938</v>
      </c>
      <c r="E20" s="85">
        <f>IFERROR(E17-E18, "N/A")</f>
        <v>287153.70999999996</v>
      </c>
      <c r="F20" s="52">
        <f>IFERROR(E20/E17, "N/A")</f>
        <v>0.35184282882145507</v>
      </c>
      <c r="G20" s="32"/>
    </row>
    <row r="21" spans="2:8" ht="30.75" thickBot="1" x14ac:dyDescent="0.3">
      <c r="B21" s="37"/>
      <c r="C21" s="53"/>
      <c r="D21" s="54" t="s">
        <v>263</v>
      </c>
      <c r="E21" s="39"/>
      <c r="F21" s="54" t="s">
        <v>263</v>
      </c>
    </row>
    <row r="22" spans="2:8" s="1" customFormat="1" ht="12.75" x14ac:dyDescent="0.2">
      <c r="B22" s="32"/>
      <c r="C22" s="31"/>
      <c r="D22" s="31"/>
      <c r="E22" s="31"/>
      <c r="F22" s="31"/>
      <c r="G22" s="31"/>
    </row>
  </sheetData>
  <sheetProtection algorithmName="SHA-512" hashValue="bGVNCGE2stJRPbqS+4Ln1T8eAad+y5D/nPicpKTavdA+C+2FMRovlOOXprrJ5eTM2TcmxHaxwuQRKKcdTInOvA==" saltValue="fq5FwNXS278bSLJiQgQmVQ==" spinCount="100000" sheet="1" objects="1" scenarios="1"/>
  <mergeCells count="3">
    <mergeCell ref="C16:D16"/>
    <mergeCell ref="E16:F16"/>
    <mergeCell ref="B3:F3"/>
  </mergeCells>
  <phoneticPr fontId="11" type="noConversion"/>
  <pageMargins left="1" right="1" top="0.81" bottom="0.5" header="0.5" footer="0.5"/>
  <pageSetup scale="67" orientation="portrait" horizontalDpi="4294967295" verticalDpi="4294967295" r:id="rId1"/>
  <headerFooter alignWithMargins="0">
    <oddHeader>&amp;C&amp;"Arial,Bold"&amp;12Cash Match Calculation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tabSelected="1" zoomScale="90" zoomScaleNormal="90" workbookViewId="0">
      <selection activeCell="E7" sqref="E7"/>
    </sheetView>
  </sheetViews>
  <sheetFormatPr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113" t="s">
        <v>14</v>
      </c>
      <c r="B1" s="113"/>
      <c r="C1" s="114"/>
      <c r="D1" s="115"/>
      <c r="E1" s="115"/>
      <c r="F1" s="116"/>
    </row>
    <row r="2" spans="1:16" ht="18" x14ac:dyDescent="0.2">
      <c r="A2" s="113" t="s">
        <v>192</v>
      </c>
      <c r="B2" s="113"/>
      <c r="C2" s="117"/>
      <c r="D2" s="117"/>
      <c r="E2" s="118"/>
      <c r="F2" s="116"/>
    </row>
    <row r="3" spans="1:16" ht="18.75" thickBot="1" x14ac:dyDescent="0.25">
      <c r="A3" s="113"/>
    </row>
    <row r="4" spans="1:16" s="1" customFormat="1" ht="16.5" thickBot="1" x14ac:dyDescent="0.3">
      <c r="A4" s="119" t="s">
        <v>16</v>
      </c>
      <c r="B4" s="120"/>
      <c r="C4" s="120"/>
      <c r="D4" s="120"/>
      <c r="E4" s="120"/>
      <c r="F4" s="120"/>
      <c r="G4" s="120"/>
      <c r="H4" s="120"/>
      <c r="I4" s="120"/>
      <c r="J4" s="120"/>
      <c r="K4" s="120"/>
      <c r="L4" s="121"/>
      <c r="M4" s="122"/>
      <c r="N4" s="122"/>
      <c r="O4" s="122"/>
      <c r="P4" s="122"/>
    </row>
    <row r="5" spans="1:16" s="126" customFormat="1" ht="24" customHeight="1" x14ac:dyDescent="0.2">
      <c r="A5" s="123" t="s">
        <v>17</v>
      </c>
      <c r="B5" s="124"/>
      <c r="C5" s="124"/>
      <c r="D5" s="124"/>
      <c r="E5" s="124"/>
      <c r="F5" s="124"/>
      <c r="G5" s="124"/>
      <c r="H5" s="124"/>
      <c r="I5" s="124"/>
      <c r="J5" s="124"/>
      <c r="K5" s="124"/>
      <c r="L5" s="125"/>
    </row>
    <row r="6" spans="1:16" ht="72" customHeight="1" thickBot="1" x14ac:dyDescent="0.25">
      <c r="A6" s="370" t="s">
        <v>193</v>
      </c>
      <c r="B6" s="371"/>
      <c r="C6" s="371"/>
      <c r="D6" s="371"/>
      <c r="E6" s="371"/>
      <c r="F6" s="371"/>
      <c r="G6" s="371"/>
      <c r="H6" s="127"/>
      <c r="I6" s="127"/>
      <c r="J6" s="127"/>
      <c r="K6" s="127"/>
      <c r="L6" s="128"/>
    </row>
    <row r="7" spans="1:16" ht="24.95" customHeight="1" thickBot="1" x14ac:dyDescent="0.25">
      <c r="A7" s="129"/>
      <c r="B7" s="129"/>
      <c r="C7" s="129"/>
      <c r="D7" s="129"/>
      <c r="E7" s="129"/>
      <c r="F7" s="129"/>
      <c r="G7" s="129"/>
      <c r="H7" s="129"/>
      <c r="I7" s="129"/>
      <c r="J7" s="129"/>
      <c r="K7" s="129"/>
      <c r="L7" s="129"/>
    </row>
    <row r="8" spans="1:16" ht="51.6" customHeight="1" x14ac:dyDescent="0.2">
      <c r="A8" s="130"/>
      <c r="B8" s="130" t="s">
        <v>194</v>
      </c>
      <c r="C8" s="130" t="s">
        <v>195</v>
      </c>
      <c r="D8" s="130" t="s">
        <v>196</v>
      </c>
      <c r="E8" s="130" t="s">
        <v>197</v>
      </c>
      <c r="F8" s="130" t="s">
        <v>198</v>
      </c>
      <c r="G8" s="131" t="s">
        <v>199</v>
      </c>
      <c r="H8" s="132" t="s">
        <v>200</v>
      </c>
      <c r="I8" s="133" t="s">
        <v>201</v>
      </c>
      <c r="J8" s="132" t="s">
        <v>202</v>
      </c>
      <c r="K8" s="134" t="s">
        <v>203</v>
      </c>
      <c r="L8" s="133" t="s">
        <v>204</v>
      </c>
      <c r="N8" s="135"/>
    </row>
    <row r="9" spans="1:16" ht="21" customHeight="1" x14ac:dyDescent="0.2">
      <c r="A9" s="136" t="s">
        <v>205</v>
      </c>
      <c r="B9" s="136"/>
      <c r="C9" s="136"/>
      <c r="D9" s="136"/>
      <c r="E9" s="136"/>
      <c r="F9" s="136"/>
      <c r="G9" s="137"/>
      <c r="H9" s="138"/>
      <c r="I9" s="139"/>
      <c r="J9" s="138"/>
      <c r="K9" s="136"/>
      <c r="L9" s="139"/>
    </row>
    <row r="10" spans="1:16" ht="35.25" customHeight="1" x14ac:dyDescent="0.2">
      <c r="A10" s="359">
        <v>1</v>
      </c>
      <c r="B10" s="369" t="s">
        <v>206</v>
      </c>
      <c r="C10" s="369" t="s">
        <v>207</v>
      </c>
      <c r="D10" s="141" t="s">
        <v>208</v>
      </c>
      <c r="E10" s="141" t="s">
        <v>209</v>
      </c>
      <c r="F10" s="141" t="s">
        <v>210</v>
      </c>
      <c r="G10" s="141" t="s">
        <v>211</v>
      </c>
      <c r="H10" s="142">
        <v>13626</v>
      </c>
      <c r="I10" s="143" t="s">
        <v>212</v>
      </c>
      <c r="J10" s="144">
        <v>26133</v>
      </c>
      <c r="K10" s="145" t="s">
        <v>213</v>
      </c>
      <c r="L10" s="146">
        <v>1.56</v>
      </c>
    </row>
    <row r="11" spans="1:16" ht="35.25" customHeight="1" x14ac:dyDescent="0.2">
      <c r="A11" s="359"/>
      <c r="B11" s="369"/>
      <c r="C11" s="369"/>
      <c r="D11" s="141" t="s">
        <v>214</v>
      </c>
      <c r="E11" s="140" t="s">
        <v>215</v>
      </c>
      <c r="F11" s="147">
        <v>0.7</v>
      </c>
      <c r="G11" s="141" t="s">
        <v>216</v>
      </c>
      <c r="H11" s="148">
        <v>0.86</v>
      </c>
      <c r="I11" s="149"/>
      <c r="J11" s="150">
        <v>0.85</v>
      </c>
      <c r="K11" s="151" t="s">
        <v>152</v>
      </c>
      <c r="L11" s="146">
        <v>1.21</v>
      </c>
    </row>
    <row r="12" spans="1:16" ht="39.950000000000003" customHeight="1" x14ac:dyDescent="0.2">
      <c r="A12" s="359">
        <v>2</v>
      </c>
      <c r="B12" s="360" t="s">
        <v>217</v>
      </c>
      <c r="C12" s="369" t="s">
        <v>218</v>
      </c>
      <c r="D12" s="141" t="s">
        <v>208</v>
      </c>
      <c r="E12" s="140" t="s">
        <v>219</v>
      </c>
      <c r="F12" s="141" t="s">
        <v>220</v>
      </c>
      <c r="G12" s="141" t="s">
        <v>211</v>
      </c>
      <c r="H12" s="142">
        <v>677</v>
      </c>
      <c r="I12" s="152" t="s">
        <v>221</v>
      </c>
      <c r="J12" s="153">
        <v>801</v>
      </c>
      <c r="K12" s="154" t="s">
        <v>222</v>
      </c>
      <c r="L12" s="146">
        <v>1.56</v>
      </c>
    </row>
    <row r="13" spans="1:16" ht="113.25" customHeight="1" x14ac:dyDescent="0.2">
      <c r="A13" s="359"/>
      <c r="B13" s="360"/>
      <c r="C13" s="369"/>
      <c r="D13" s="141" t="s">
        <v>214</v>
      </c>
      <c r="E13" s="140" t="s">
        <v>223</v>
      </c>
      <c r="F13" s="147">
        <v>0.7</v>
      </c>
      <c r="G13" s="141" t="s">
        <v>224</v>
      </c>
      <c r="H13" s="148">
        <v>0.66</v>
      </c>
      <c r="I13" s="149"/>
      <c r="J13" s="155">
        <v>0.51600000000000001</v>
      </c>
      <c r="K13" s="154" t="s">
        <v>264</v>
      </c>
      <c r="L13" s="146">
        <v>0.74</v>
      </c>
    </row>
    <row r="14" spans="1:16" ht="53.25" customHeight="1" x14ac:dyDescent="0.2">
      <c r="A14" s="359">
        <v>3</v>
      </c>
      <c r="B14" s="360" t="s">
        <v>206</v>
      </c>
      <c r="C14" s="360" t="s">
        <v>225</v>
      </c>
      <c r="D14" s="141" t="s">
        <v>208</v>
      </c>
      <c r="E14" s="140" t="s">
        <v>226</v>
      </c>
      <c r="F14" s="156" t="s">
        <v>227</v>
      </c>
      <c r="G14" s="141" t="s">
        <v>211</v>
      </c>
      <c r="H14" s="142">
        <v>890</v>
      </c>
      <c r="I14" s="152" t="s">
        <v>228</v>
      </c>
      <c r="J14" s="153">
        <v>1031</v>
      </c>
      <c r="K14" s="154" t="s">
        <v>229</v>
      </c>
      <c r="L14" s="146">
        <v>1.21</v>
      </c>
    </row>
    <row r="15" spans="1:16" ht="55.5" customHeight="1" x14ac:dyDescent="0.2">
      <c r="A15" s="359"/>
      <c r="B15" s="360"/>
      <c r="C15" s="360"/>
      <c r="D15" s="141" t="s">
        <v>214</v>
      </c>
      <c r="E15" s="140" t="s">
        <v>230</v>
      </c>
      <c r="F15" s="147">
        <v>0.8</v>
      </c>
      <c r="G15" s="141" t="s">
        <v>216</v>
      </c>
      <c r="H15" s="148">
        <v>0.92</v>
      </c>
      <c r="I15" s="149"/>
      <c r="J15" s="150">
        <v>0.89</v>
      </c>
      <c r="K15" s="151" t="s">
        <v>152</v>
      </c>
      <c r="L15" s="146">
        <v>1.1100000000000001</v>
      </c>
    </row>
    <row r="16" spans="1:16" ht="24" customHeight="1" x14ac:dyDescent="0.2">
      <c r="A16" s="136" t="s">
        <v>231</v>
      </c>
      <c r="B16" s="136"/>
      <c r="C16" s="136"/>
      <c r="D16" s="136"/>
      <c r="E16" s="136"/>
      <c r="F16" s="136"/>
      <c r="G16" s="137"/>
      <c r="H16" s="138"/>
      <c r="I16" s="139"/>
      <c r="J16" s="138"/>
      <c r="K16" s="136"/>
      <c r="L16" s="139"/>
    </row>
    <row r="17" spans="1:12" ht="80.25" customHeight="1" x14ac:dyDescent="0.2">
      <c r="A17" s="359">
        <v>1</v>
      </c>
      <c r="B17" s="363" t="s">
        <v>217</v>
      </c>
      <c r="C17" s="364" t="s">
        <v>218</v>
      </c>
      <c r="D17" s="157" t="s">
        <v>208</v>
      </c>
      <c r="E17" s="159" t="s">
        <v>232</v>
      </c>
      <c r="F17" s="157" t="s">
        <v>233</v>
      </c>
      <c r="G17" s="157" t="s">
        <v>211</v>
      </c>
      <c r="H17" s="142">
        <v>58</v>
      </c>
      <c r="I17" s="143" t="s">
        <v>234</v>
      </c>
      <c r="J17" s="144">
        <v>83</v>
      </c>
      <c r="K17" s="145" t="s">
        <v>235</v>
      </c>
      <c r="L17" s="160">
        <v>0.44</v>
      </c>
    </row>
    <row r="18" spans="1:12" ht="39.950000000000003" customHeight="1" x14ac:dyDescent="0.2">
      <c r="A18" s="359"/>
      <c r="B18" s="363"/>
      <c r="C18" s="364"/>
      <c r="D18" s="157" t="s">
        <v>214</v>
      </c>
      <c r="E18" s="159" t="s">
        <v>236</v>
      </c>
      <c r="F18" s="161">
        <v>0.95</v>
      </c>
      <c r="G18" s="157" t="s">
        <v>237</v>
      </c>
      <c r="H18" s="148">
        <v>1</v>
      </c>
      <c r="I18" s="149"/>
      <c r="J18" s="162">
        <v>0.98799999999999999</v>
      </c>
      <c r="K18" s="151" t="s">
        <v>152</v>
      </c>
      <c r="L18" s="160">
        <v>1.03</v>
      </c>
    </row>
    <row r="19" spans="1:12" ht="39.950000000000003" customHeight="1" x14ac:dyDescent="0.2">
      <c r="A19" s="359">
        <v>2</v>
      </c>
      <c r="B19" s="365" t="s">
        <v>206</v>
      </c>
      <c r="C19" s="367" t="s">
        <v>238</v>
      </c>
      <c r="D19" s="157" t="s">
        <v>208</v>
      </c>
      <c r="E19" s="159" t="s">
        <v>239</v>
      </c>
      <c r="F19" s="157" t="s">
        <v>220</v>
      </c>
      <c r="G19" s="158" t="s">
        <v>240</v>
      </c>
      <c r="H19" s="142">
        <v>677</v>
      </c>
      <c r="I19" s="152" t="s">
        <v>241</v>
      </c>
      <c r="J19" s="153">
        <v>801</v>
      </c>
      <c r="K19" s="154" t="s">
        <v>222</v>
      </c>
      <c r="L19" s="160">
        <v>1.56</v>
      </c>
    </row>
    <row r="20" spans="1:12" ht="58.5" customHeight="1" x14ac:dyDescent="0.2">
      <c r="A20" s="359"/>
      <c r="B20" s="366"/>
      <c r="C20" s="368"/>
      <c r="D20" s="157" t="s">
        <v>214</v>
      </c>
      <c r="E20" s="159" t="s">
        <v>242</v>
      </c>
      <c r="F20" s="161">
        <v>0.8</v>
      </c>
      <c r="G20" s="157" t="s">
        <v>216</v>
      </c>
      <c r="H20" s="148">
        <v>0.81</v>
      </c>
      <c r="I20" s="149"/>
      <c r="J20" s="150">
        <v>0.86</v>
      </c>
      <c r="K20" s="151" t="s">
        <v>152</v>
      </c>
      <c r="L20" s="160">
        <v>1.07</v>
      </c>
    </row>
    <row r="21" spans="1:12" ht="39.950000000000003" customHeight="1" x14ac:dyDescent="0.2">
      <c r="A21" s="359">
        <v>3</v>
      </c>
      <c r="B21" s="361"/>
      <c r="C21" s="363"/>
      <c r="D21" s="157"/>
      <c r="E21" s="157"/>
      <c r="F21" s="157"/>
      <c r="G21" s="163"/>
      <c r="H21" s="142"/>
      <c r="I21" s="149"/>
      <c r="J21" s="164" t="s">
        <v>152</v>
      </c>
      <c r="K21" s="151" t="s">
        <v>152</v>
      </c>
      <c r="L21" s="165"/>
    </row>
    <row r="22" spans="1:12" ht="39.950000000000003" customHeight="1" x14ac:dyDescent="0.2">
      <c r="A22" s="359"/>
      <c r="B22" s="362"/>
      <c r="C22" s="363"/>
      <c r="D22" s="157"/>
      <c r="E22" s="157"/>
      <c r="F22" s="157"/>
      <c r="G22" s="163"/>
      <c r="H22" s="166"/>
      <c r="I22" s="167"/>
      <c r="J22" s="168" t="s">
        <v>152</v>
      </c>
      <c r="K22" s="169" t="s">
        <v>152</v>
      </c>
      <c r="L22" s="170"/>
    </row>
    <row r="23" spans="1:12" x14ac:dyDescent="0.2">
      <c r="A23" s="116"/>
    </row>
    <row r="26" spans="1:12" x14ac:dyDescent="0.2">
      <c r="C26" s="171"/>
      <c r="D26" s="171"/>
      <c r="E26" s="171"/>
    </row>
    <row r="27" spans="1:12" x14ac:dyDescent="0.2">
      <c r="D27" s="172"/>
      <c r="E27" s="116"/>
    </row>
    <row r="28" spans="1:12" x14ac:dyDescent="0.2">
      <c r="C28" s="116"/>
      <c r="D28" s="172"/>
      <c r="E28" s="116"/>
    </row>
    <row r="29" spans="1:12" x14ac:dyDescent="0.2">
      <c r="C29" s="172"/>
      <c r="D29" s="172"/>
      <c r="E29" s="116"/>
    </row>
    <row r="30" spans="1:12" x14ac:dyDescent="0.2">
      <c r="C30" s="172"/>
      <c r="D30" s="172"/>
      <c r="E30" s="172"/>
    </row>
    <row r="31" spans="1:12" x14ac:dyDescent="0.2">
      <c r="D31" s="172"/>
    </row>
  </sheetData>
  <sheetProtection algorithmName="SHA-512" hashValue="l3jIJS7n+3SugsQI8ytkQVBvimipe1WTKlNr3VtnUzEvV/nJk/kGL81V6ZHxGUDue7AH8pNYgGFQHvvKO8/wvQ==" saltValue="OZLciL0s+tbOWwVXxPvoXQ==" spinCount="100000" sheet="1" objects="1" scenarios="1"/>
  <dataConsolidate/>
  <mergeCells count="19">
    <mergeCell ref="A10:A11"/>
    <mergeCell ref="B10:B11"/>
    <mergeCell ref="C10:C11"/>
    <mergeCell ref="A6:G6"/>
    <mergeCell ref="A12:A13"/>
    <mergeCell ref="B12:B13"/>
    <mergeCell ref="C12:C13"/>
    <mergeCell ref="A14:A15"/>
    <mergeCell ref="B14:B15"/>
    <mergeCell ref="C14:C15"/>
    <mergeCell ref="A21:A22"/>
    <mergeCell ref="B21:B22"/>
    <mergeCell ref="C21:C22"/>
    <mergeCell ref="A17:A18"/>
    <mergeCell ref="B17:B18"/>
    <mergeCell ref="C17:C18"/>
    <mergeCell ref="A19:A20"/>
    <mergeCell ref="B19:B20"/>
    <mergeCell ref="C19:C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2.xml><?xml version="1.0" encoding="utf-8"?>
<ds:datastoreItem xmlns:ds="http://schemas.openxmlformats.org/officeDocument/2006/customXml" ds:itemID="{97D4D97A-7F06-4E8D-98A9-7DE62E8788CF}">
  <ds:schemaRefs>
    <ds:schemaRef ds:uri="bdb8ef80-3d76-4f2b-ba95-731db74cbb70"/>
    <ds:schemaRef ds:uri="http://schemas.microsoft.com/office/2006/documentManagement/types"/>
    <ds:schemaRef ds:uri="http://schemas.microsoft.com/office/2006/metadata/properties"/>
    <ds:schemaRef ds:uri="http://purl.org/dc/terms/"/>
    <ds:schemaRef ds:uri="http://www.w3.org/XML/1998/namespace"/>
    <ds:schemaRef ds:uri="c503424b-3e12-4ddd-ab41-5c8973ad5bb3"/>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BBD20EF-E764-46EC-A646-2C27E6452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48728A-3ABE-4BE2-8186-96DCFA2F47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CASH MATCH</vt:lpstr>
      <vt:lpstr>PROGRAM EVALUATION</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